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xWindow="0" yWindow="0" windowWidth="16384" windowHeight="8192" tabRatio="500" firstSheet="0" activeTab="0" autoFilterDateGrouping="1"/>
  </bookViews>
  <sheets>
    <sheet xmlns:r="http://schemas.openxmlformats.org/officeDocument/2006/relationships" name="📋 Registras" sheetId="1" state="visible" r:id="rId1"/>
    <sheet xmlns:r="http://schemas.openxmlformats.org/officeDocument/2006/relationships" name="📊 Suvestinė" sheetId="2" state="visible" r:id="rId2"/>
    <sheet xmlns:r="http://schemas.openxmlformats.org/officeDocument/2006/relationships" name="📈 Trendai" sheetId="3" state="visible" r:id="rId3"/>
    <sheet xmlns:r="http://schemas.openxmlformats.org/officeDocument/2006/relationships" name="⚡ Įgaliojimų žemėlapis" sheetId="4" state="visible" r:id="rId4"/>
    <sheet xmlns:r="http://schemas.openxmlformats.org/officeDocument/2006/relationships" name="🔍 Diagnostika" sheetId="5" state="visible" r:id="rId5"/>
  </sheets>
  <definedNames/>
  <calcPr calcId="124519" fullCalcOnLoad="1" refMode="A1" iterate="0" iterateCount="100" iterateDelta="0.0001"/>
</workbook>
</file>

<file path=xl/styles.xml><?xml version="1.0" encoding="utf-8"?>
<styleSheet xmlns="http://schemas.openxmlformats.org/spreadsheetml/2006/main">
  <numFmts count="4">
    <numFmt numFmtId="164" formatCode="yyyy\-mm\-dd"/>
    <numFmt numFmtId="165" formatCode="0.0%"/>
    <numFmt numFmtId="166" formatCode="yyyy-mm-dd"/>
    <numFmt numFmtId="167" formatCode="YYYY-MM-DD"/>
  </numFmts>
  <fonts count="32">
    <font>
      <name val="Calibri"/>
      <charset val="1"/>
      <family val="2"/>
      <color theme="1"/>
      <sz val="11"/>
    </font>
    <font>
      <name val="Arial"/>
      <family val="0"/>
      <sz val="10"/>
    </font>
    <font>
      <name val="Arial"/>
      <family val="0"/>
      <sz val="10"/>
    </font>
    <font>
      <name val="Arial"/>
      <family val="0"/>
      <sz val="10"/>
    </font>
    <font>
      <name val="Arial"/>
      <charset val="1"/>
      <family val="0"/>
      <b val="1"/>
      <color rgb="FFFFFFFF"/>
      <sz val="16"/>
    </font>
    <font>
      <name val="Arial"/>
      <charset val="1"/>
      <family val="0"/>
      <color rgb="FFC4974A"/>
      <sz val="10"/>
    </font>
    <font>
      <name val="Arial"/>
      <charset val="1"/>
      <family val="0"/>
      <b val="1"/>
      <color rgb="FFFFFFFF"/>
      <sz val="10"/>
    </font>
    <font>
      <name val="Arial"/>
      <charset val="1"/>
      <family val="0"/>
      <b val="1"/>
      <color rgb="FFFFFFFF"/>
      <sz val="9"/>
    </font>
    <font>
      <name val="Arial"/>
      <charset val="1"/>
      <family val="0"/>
      <color rgb="FF1A1A1A"/>
      <sz val="10"/>
    </font>
    <font>
      <name val="Arial"/>
      <charset val="1"/>
      <family val="0"/>
      <b val="1"/>
      <color rgb="FF1A1A1A"/>
      <sz val="10"/>
    </font>
    <font>
      <name val="Arial"/>
      <charset val="1"/>
      <family val="0"/>
      <color rgb="FF4A4A4A"/>
      <sz val="10"/>
    </font>
    <font>
      <name val="Arial"/>
      <charset val="1"/>
      <family val="0"/>
      <color rgb="FF1A1A1A"/>
      <sz val="9"/>
    </font>
    <font>
      <name val="Arial"/>
      <charset val="1"/>
      <family val="0"/>
      <b val="1"/>
      <color rgb="FF0E6B75"/>
      <sz val="10"/>
    </font>
    <font>
      <name val="Arial"/>
      <charset val="1"/>
      <family val="0"/>
      <b val="1"/>
      <color rgb="FF1A1A1A"/>
      <sz val="9"/>
    </font>
    <font>
      <name val="Arial"/>
      <charset val="1"/>
      <family val="0"/>
      <b val="1"/>
      <color rgb="FFC4974A"/>
      <sz val="10"/>
    </font>
    <font>
      <name val="Arial"/>
      <charset val="1"/>
      <family val="0"/>
      <i val="1"/>
      <color rgb="FF6B7280"/>
      <sz val="8"/>
    </font>
    <font>
      <name val="Arial"/>
      <charset val="1"/>
      <family val="0"/>
      <b val="1"/>
      <color rgb="FF0E6B75"/>
      <sz val="9"/>
    </font>
    <font>
      <name val="Arial"/>
      <charset val="1"/>
      <family val="0"/>
      <b val="1"/>
      <color rgb="FF0E6B75"/>
      <sz val="14"/>
    </font>
    <font>
      <name val="Arial"/>
      <charset val="1"/>
      <family val="0"/>
      <b val="1"/>
      <color rgb="FFC4974A"/>
      <sz val="9"/>
    </font>
    <font>
      <name val="Arial"/>
      <charset val="1"/>
      <family val="0"/>
      <i val="1"/>
      <color rgb="FF6B7280"/>
      <sz val="9"/>
    </font>
    <font>
      <name val="Arial"/>
      <charset val="1"/>
      <family val="0"/>
      <b val="1"/>
      <color rgb="FFFFFFFF"/>
      <sz val="13"/>
    </font>
    <font>
      <name val="Arial"/>
      <charset val="1"/>
      <family val="0"/>
      <b val="1"/>
      <color rgb="FFFFFFFF"/>
      <sz val="14"/>
    </font>
    <font>
      <name val="Arial"/>
      <charset val="1"/>
      <family val="0"/>
      <b val="1"/>
      <color rgb="FF4A4A4A"/>
      <sz val="9"/>
    </font>
    <font>
      <name val="Arial"/>
      <charset val="1"/>
      <family val="0"/>
      <b val="1"/>
      <color rgb="FFFFFFFF"/>
      <sz val="11"/>
    </font>
    <font>
      <name val="Arial"/>
      <b val="1"/>
      <color rgb="00FFFFFF"/>
      <sz val="10"/>
    </font>
    <font>
      <name val="Arial"/>
      <sz val="11"/>
    </font>
    <font>
      <name val="Arial"/>
      <b val="1"/>
      <color rgb="00FFFFFF"/>
      <sz val="11"/>
    </font>
    <font>
      <name val="Arial"/>
      <i val="1"/>
      <color rgb="00666666"/>
      <sz val="10"/>
    </font>
    <font>
      <name val="Arial"/>
      <i val="1"/>
      <color rgb="000E6B75"/>
      <sz val="10"/>
    </font>
    <font>
      <name val="Arial"/>
      <b val="1"/>
      <color rgb="00888888"/>
      <sz val="9"/>
    </font>
    <font>
      <name val="Arial"/>
      <color rgb="00888888"/>
      <sz val="9"/>
    </font>
    <font>
      <name val="Arial"/>
      <i val="1"/>
      <color rgb="000E6B75"/>
      <sz val="9"/>
    </font>
  </fonts>
  <fills count="18">
    <fill>
      <patternFill/>
    </fill>
    <fill>
      <patternFill patternType="gray125"/>
    </fill>
    <fill>
      <patternFill patternType="solid">
        <fgColor rgb="FF0E6B75"/>
        <bgColor rgb="FF008080"/>
      </patternFill>
    </fill>
    <fill>
      <patternFill patternType="solid">
        <fgColor rgb="FFFDECEA"/>
        <bgColor rgb="FFFAF0DC"/>
      </patternFill>
    </fill>
    <fill>
      <patternFill patternType="solid">
        <fgColor rgb="FFFFF3E0"/>
        <bgColor rgb="FFFAF0DC"/>
      </patternFill>
    </fill>
    <fill>
      <patternFill patternType="solid">
        <fgColor rgb="FFE3F2FD"/>
        <bgColor rgb="FFE6F2F3"/>
      </patternFill>
    </fill>
    <fill>
      <patternFill patternType="solid">
        <fgColor rgb="FFE8F5E9"/>
        <bgColor rgb="FFE6F2F3"/>
      </patternFill>
    </fill>
    <fill>
      <patternFill patternType="solid">
        <fgColor rgb="FFF3E5F5"/>
        <bgColor rgb="FFFDECEA"/>
      </patternFill>
    </fill>
    <fill>
      <patternFill patternType="solid">
        <fgColor rgb="FFE6F2F3"/>
        <bgColor rgb="FFE3F2FD"/>
      </patternFill>
    </fill>
    <fill>
      <patternFill patternType="solid">
        <fgColor rgb="FFFBF7EE"/>
        <bgColor rgb="FFF7F4EF"/>
      </patternFill>
    </fill>
    <fill>
      <patternFill patternType="solid">
        <fgColor rgb="FFF7F4EF"/>
        <bgColor rgb="FFFBF7EE"/>
      </patternFill>
    </fill>
    <fill>
      <patternFill patternType="solid">
        <fgColor rgb="FFFFFFFF"/>
        <bgColor rgb="FFFBF7EE"/>
      </patternFill>
    </fill>
    <fill>
      <patternFill patternType="solid">
        <fgColor rgb="FFC4974A"/>
        <bgColor rgb="FFCA8A04"/>
      </patternFill>
    </fill>
    <fill>
      <patternFill patternType="solid">
        <fgColor rgb="FFF2F2F2"/>
        <bgColor rgb="FFF7F4EF"/>
      </patternFill>
    </fill>
    <fill>
      <patternFill patternType="solid">
        <fgColor rgb="FFFAF0DC"/>
        <bgColor rgb="FFFFF3E0"/>
      </patternFill>
    </fill>
    <fill>
      <patternFill patternType="solid">
        <fgColor rgb="FFD6EDEF"/>
        <bgColor rgb="FFE3F2FD"/>
      </patternFill>
    </fill>
    <fill>
      <patternFill patternType="solid">
        <fgColor rgb="000E6B75"/>
      </patternFill>
    </fill>
    <fill>
      <patternFill patternType="solid">
        <fgColor rgb="00C4974A"/>
      </patternFill>
    </fill>
  </fills>
  <borders count="16">
    <border>
      <left/>
      <right/>
      <top/>
      <bottom/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E5E7EB"/>
      </left>
      <right style="thin">
        <color rgb="FFE5E7EB"/>
      </right>
      <top style="thin">
        <color rgb="FFE5E7EB"/>
      </top>
      <bottom style="thin">
        <color rgb="FFE5E7EB"/>
      </bottom>
      <diagonal/>
    </border>
    <border>
      <left/>
      <right/>
      <top/>
      <bottom style="medium">
        <color rgb="FFC4974A"/>
      </bottom>
      <diagonal/>
    </border>
    <border>
      <left style="thin">
        <color rgb="FFC4974A"/>
      </left>
      <right style="thin">
        <color rgb="FFC4974A"/>
      </right>
      <top style="thin">
        <color rgb="FFC4974A"/>
      </top>
      <bottom style="thin">
        <color rgb="FFC4974A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CCCCCC"/>
      </left>
      <right/>
      <top style="thin">
        <color rgb="FFCCCCCC"/>
      </top>
      <bottom style="thin">
        <color rgb="FFCCCCCC"/>
      </bottom>
      <diagonal/>
    </border>
    <border>
      <left/>
      <right/>
      <top style="thin">
        <color rgb="FFC4974A"/>
      </top>
      <bottom/>
      <diagonal/>
    </border>
    <border>
      <left/>
      <right style="thin">
        <color rgb="FFC4974A"/>
      </right>
      <top style="thin">
        <color rgb="FFC4974A"/>
      </top>
      <bottom/>
      <diagonal/>
    </border>
    <border>
      <left/>
      <right/>
      <top style="thin">
        <color rgb="FFC4974A"/>
      </top>
      <bottom style="thin">
        <color rgb="FFC4974A"/>
      </bottom>
      <diagonal/>
    </border>
    <border>
      <left/>
      <right style="thin">
        <color rgb="FFC4974A"/>
      </right>
      <top style="thin">
        <color rgb="FFC4974A"/>
      </top>
      <bottom style="thin">
        <color rgb="FFC4974A"/>
      </bottom>
      <diagonal/>
    </border>
    <border>
      <left/>
      <right/>
      <top style="thin">
        <color rgb="FFE5E7EB"/>
      </top>
      <bottom/>
      <diagonal/>
    </border>
    <border>
      <left/>
      <right style="thin">
        <color rgb="FFE5E7EB"/>
      </right>
      <top style="thin">
        <color rgb="FFE5E7EB"/>
      </top>
      <bottom/>
      <diagonal/>
    </border>
    <border>
      <left/>
      <right style="thin">
        <color rgb="FFE5E7EB"/>
      </right>
      <top style="thin">
        <color rgb="FFE5E7EB"/>
      </top>
      <bottom style="thin">
        <color rgb="FFE5E7EB"/>
      </bottom>
      <diagonal/>
    </border>
    <border>
      <left/>
      <right/>
      <top style="thin">
        <color rgb="FFCCCCCC"/>
      </top>
      <bottom/>
      <diagonal/>
    </border>
    <border>
      <left/>
      <right/>
      <top style="thin">
        <color rgb="FFCCCCCC"/>
      </top>
      <bottom style="thin">
        <color rgb="FFCCCCCC"/>
      </bottom>
      <diagonal/>
    </border>
  </borders>
  <cellStyleXfs count="6">
    <xf numFmtId="0" fontId="0" fillId="0" borderId="0" applyAlignment="1">
      <alignment horizontal="general" vertical="bottom"/>
    </xf>
    <xf numFmtId="43" fontId="3" fillId="0" borderId="0"/>
    <xf numFmtId="41" fontId="3" fillId="0" borderId="0"/>
    <xf numFmtId="44" fontId="3" fillId="0" borderId="0"/>
    <xf numFmtId="42" fontId="3" fillId="0" borderId="0"/>
    <xf numFmtId="9" fontId="3" fillId="0" borderId="0"/>
  </cellStyleXfs>
  <cellXfs count="194">
    <xf numFmtId="0" fontId="0" fillId="0" borderId="0" applyAlignment="1" pivotButton="0" quotePrefix="0" xfId="0">
      <alignment horizontal="general" vertical="bottom"/>
    </xf>
    <xf numFmtId="0" fontId="0" fillId="0" borderId="0" applyAlignment="1" pivotButton="0" quotePrefix="0" xfId="0">
      <alignment horizontal="general" vertical="bottom"/>
    </xf>
    <xf numFmtId="0" fontId="4" fillId="2" borderId="0" applyAlignment="1" pivotButton="0" quotePrefix="0" xfId="0">
      <alignment horizontal="center" vertical="center"/>
    </xf>
    <xf numFmtId="0" fontId="5" fillId="2" borderId="0" applyAlignment="1" pivotButton="0" quotePrefix="0" xfId="0">
      <alignment horizontal="center" vertical="center"/>
    </xf>
    <xf numFmtId="0" fontId="6" fillId="2" borderId="1" applyAlignment="1" pivotButton="0" quotePrefix="0" xfId="0">
      <alignment horizontal="center" vertical="center" wrapText="1"/>
    </xf>
    <xf numFmtId="0" fontId="7" fillId="2" borderId="1" applyAlignment="1" pivotButton="0" quotePrefix="0" xfId="0">
      <alignment horizontal="center" vertical="center" wrapText="1"/>
    </xf>
    <xf numFmtId="0" fontId="8" fillId="3" borderId="1" applyAlignment="1" pivotButton="0" quotePrefix="0" xfId="0">
      <alignment horizontal="center" vertical="center"/>
    </xf>
    <xf numFmtId="0" fontId="8" fillId="3" borderId="1" applyAlignment="1" pivotButton="0" quotePrefix="0" xfId="0">
      <alignment horizontal="left" vertical="center" wrapText="1"/>
    </xf>
    <xf numFmtId="0" fontId="8" fillId="3" borderId="2" applyAlignment="1" pivotButton="0" quotePrefix="0" xfId="0">
      <alignment horizontal="center" vertical="center"/>
    </xf>
    <xf numFmtId="0" fontId="9" fillId="3" borderId="1" applyAlignment="1" pivotButton="0" quotePrefix="0" xfId="0">
      <alignment horizontal="center" vertical="center"/>
    </xf>
    <xf numFmtId="0" fontId="10" fillId="3" borderId="1" applyAlignment="1" pivotButton="0" quotePrefix="0" xfId="0">
      <alignment horizontal="center" vertical="center"/>
    </xf>
    <xf numFmtId="0" fontId="9" fillId="4" borderId="1" applyAlignment="1" pivotButton="0" quotePrefix="0" xfId="0">
      <alignment horizontal="center" vertical="center"/>
    </xf>
    <xf numFmtId="0" fontId="8" fillId="5" borderId="1" applyAlignment="1" pivotButton="0" quotePrefix="0" xfId="0">
      <alignment horizontal="center" vertical="center"/>
    </xf>
    <xf numFmtId="0" fontId="8" fillId="5" borderId="1" applyAlignment="1" pivotButton="0" quotePrefix="0" xfId="0">
      <alignment horizontal="left" vertical="center" wrapText="1"/>
    </xf>
    <xf numFmtId="0" fontId="8" fillId="5" borderId="2" applyAlignment="1" pivotButton="0" quotePrefix="0" xfId="0">
      <alignment horizontal="center" vertical="center"/>
    </xf>
    <xf numFmtId="0" fontId="11" fillId="5" borderId="1" applyAlignment="1" pivotButton="0" quotePrefix="0" xfId="0">
      <alignment horizontal="left" vertical="center" wrapText="1"/>
    </xf>
    <xf numFmtId="0" fontId="9" fillId="5" borderId="1" applyAlignment="1" pivotButton="0" quotePrefix="0" xfId="0">
      <alignment horizontal="center" vertical="center"/>
    </xf>
    <xf numFmtId="0" fontId="8" fillId="6" borderId="1" applyAlignment="1" pivotButton="0" quotePrefix="0" xfId="0">
      <alignment horizontal="center" vertical="center"/>
    </xf>
    <xf numFmtId="0" fontId="8" fillId="6" borderId="1" applyAlignment="1" pivotButton="0" quotePrefix="0" xfId="0">
      <alignment horizontal="left" vertical="center" wrapText="1"/>
    </xf>
    <xf numFmtId="0" fontId="8" fillId="6" borderId="2" applyAlignment="1" pivotButton="0" quotePrefix="0" xfId="0">
      <alignment horizontal="center" vertical="center"/>
    </xf>
    <xf numFmtId="0" fontId="9" fillId="6" borderId="1" applyAlignment="1" pivotButton="0" quotePrefix="0" xfId="0">
      <alignment horizontal="center" vertical="center"/>
    </xf>
    <xf numFmtId="0" fontId="10" fillId="6" borderId="1" applyAlignment="1" pivotButton="0" quotePrefix="0" xfId="0">
      <alignment horizontal="center" vertical="center"/>
    </xf>
    <xf numFmtId="0" fontId="8" fillId="4" borderId="1" applyAlignment="1" pivotButton="0" quotePrefix="0" xfId="0">
      <alignment horizontal="center" vertical="center"/>
    </xf>
    <xf numFmtId="0" fontId="8" fillId="4" borderId="1" applyAlignment="1" pivotButton="0" quotePrefix="0" xfId="0">
      <alignment horizontal="left" vertical="center" wrapText="1"/>
    </xf>
    <xf numFmtId="0" fontId="8" fillId="4" borderId="2" applyAlignment="1" pivotButton="0" quotePrefix="0" xfId="0">
      <alignment horizontal="center" vertical="center"/>
    </xf>
    <xf numFmtId="0" fontId="10" fillId="4" borderId="1" applyAlignment="1" pivotButton="0" quotePrefix="0" xfId="0">
      <alignment horizontal="center" vertical="center"/>
    </xf>
    <xf numFmtId="0" fontId="8" fillId="7" borderId="1" applyAlignment="1" pivotButton="0" quotePrefix="0" xfId="0">
      <alignment horizontal="center" vertical="center"/>
    </xf>
    <xf numFmtId="0" fontId="8" fillId="7" borderId="1" applyAlignment="1" pivotButton="0" quotePrefix="0" xfId="0">
      <alignment horizontal="left" vertical="center" wrapText="1"/>
    </xf>
    <xf numFmtId="0" fontId="8" fillId="7" borderId="2" applyAlignment="1" pivotButton="0" quotePrefix="0" xfId="0">
      <alignment horizontal="center" vertical="center"/>
    </xf>
    <xf numFmtId="0" fontId="10" fillId="7" borderId="1" applyAlignment="1" pivotButton="0" quotePrefix="0" xfId="0">
      <alignment horizontal="center" vertical="center"/>
    </xf>
    <xf numFmtId="0" fontId="0" fillId="0" borderId="0" applyAlignment="1" pivotButton="0" quotePrefix="0" xfId="0">
      <alignment horizontal="general" vertical="bottom"/>
    </xf>
    <xf numFmtId="0" fontId="12" fillId="8" borderId="0" applyAlignment="1" pivotButton="0" quotePrefix="0" xfId="0">
      <alignment horizontal="left" vertical="center"/>
    </xf>
    <xf numFmtId="0" fontId="13" fillId="0" borderId="0" applyAlignment="1" pivotButton="0" quotePrefix="0" xfId="0">
      <alignment horizontal="right" vertical="center"/>
    </xf>
    <xf numFmtId="164" fontId="14" fillId="9" borderId="3" applyAlignment="1" pivotButton="0" quotePrefix="0" xfId="0">
      <alignment horizontal="center" vertical="center"/>
    </xf>
    <xf numFmtId="0" fontId="15" fillId="0" borderId="0" applyAlignment="1" pivotButton="0" quotePrefix="0" xfId="0">
      <alignment horizontal="general" vertical="bottom"/>
    </xf>
    <xf numFmtId="0" fontId="6" fillId="2" borderId="0" applyAlignment="1" pivotButton="0" quotePrefix="0" xfId="0">
      <alignment horizontal="center" vertical="center"/>
    </xf>
    <xf numFmtId="0" fontId="16" fillId="10" borderId="2" applyAlignment="1" pivotButton="0" quotePrefix="0" xfId="0">
      <alignment horizontal="center" vertical="center" wrapText="1"/>
    </xf>
    <xf numFmtId="0" fontId="17" fillId="11" borderId="2" applyAlignment="1" pivotButton="0" quotePrefix="0" xfId="0">
      <alignment horizontal="center" vertical="center"/>
    </xf>
    <xf numFmtId="0" fontId="6" fillId="12" borderId="0" applyAlignment="1" pivotButton="0" quotePrefix="0" xfId="0">
      <alignment horizontal="center" vertical="center"/>
    </xf>
    <xf numFmtId="0" fontId="18" fillId="9" borderId="4" applyAlignment="1" pivotButton="0" quotePrefix="0" xfId="0">
      <alignment horizontal="center" vertical="center" wrapText="1"/>
    </xf>
    <xf numFmtId="165" fontId="17" fillId="11" borderId="4" applyAlignment="1" pivotButton="0" quotePrefix="0" xfId="0">
      <alignment horizontal="center" vertical="center"/>
    </xf>
    <xf numFmtId="0" fontId="17" fillId="11" borderId="4" applyAlignment="1" pivotButton="0" quotePrefix="0" xfId="0">
      <alignment horizontal="center" vertical="center"/>
    </xf>
    <xf numFmtId="0" fontId="19" fillId="11" borderId="4" applyAlignment="1" pivotButton="0" quotePrefix="0" xfId="0">
      <alignment horizontal="center" vertical="center"/>
    </xf>
    <xf numFmtId="0" fontId="11" fillId="11" borderId="2" applyAlignment="1" pivotButton="0" quotePrefix="0" xfId="0">
      <alignment horizontal="left" vertical="center" wrapText="1"/>
    </xf>
    <xf numFmtId="0" fontId="11" fillId="11" borderId="2" applyAlignment="1" pivotButton="0" quotePrefix="0" xfId="0">
      <alignment horizontal="center" vertical="center" wrapText="1"/>
    </xf>
    <xf numFmtId="165" fontId="11" fillId="11" borderId="2" applyAlignment="1" pivotButton="0" quotePrefix="0" xfId="0">
      <alignment horizontal="center" vertical="center" wrapText="1"/>
    </xf>
    <xf numFmtId="0" fontId="11" fillId="11" borderId="2" applyAlignment="1" pivotButton="0" quotePrefix="0" xfId="0">
      <alignment horizontal="center" vertical="center"/>
    </xf>
    <xf numFmtId="0" fontId="11" fillId="10" borderId="2" applyAlignment="1" pivotButton="0" quotePrefix="0" xfId="0">
      <alignment horizontal="left" vertical="center" wrapText="1"/>
    </xf>
    <xf numFmtId="0" fontId="11" fillId="10" borderId="2" applyAlignment="1" pivotButton="0" quotePrefix="0" xfId="0">
      <alignment horizontal="center" vertical="center" wrapText="1"/>
    </xf>
    <xf numFmtId="165" fontId="11" fillId="10" borderId="2" applyAlignment="1" pivotButton="0" quotePrefix="0" xfId="0">
      <alignment horizontal="center" vertical="center" wrapText="1"/>
    </xf>
    <xf numFmtId="0" fontId="11" fillId="10" borderId="2" applyAlignment="1" pivotButton="0" quotePrefix="0" xfId="0">
      <alignment horizontal="center" vertical="center"/>
    </xf>
    <xf numFmtId="0" fontId="13" fillId="8" borderId="2" applyAlignment="1" pivotButton="0" quotePrefix="0" xfId="0">
      <alignment horizontal="general" vertical="bottom"/>
    </xf>
    <xf numFmtId="165" fontId="13" fillId="8" borderId="2" applyAlignment="1" pivotButton="0" quotePrefix="0" xfId="0">
      <alignment horizontal="general" vertical="bottom"/>
    </xf>
    <xf numFmtId="0" fontId="0" fillId="0" borderId="2" applyAlignment="1" pivotButton="0" quotePrefix="0" xfId="0">
      <alignment horizontal="general" vertical="bottom"/>
    </xf>
    <xf numFmtId="0" fontId="0" fillId="10" borderId="2" applyAlignment="1" pivotButton="0" quotePrefix="0" xfId="0">
      <alignment horizontal="general" vertical="bottom"/>
    </xf>
    <xf numFmtId="0" fontId="0" fillId="11" borderId="2" applyAlignment="1" pivotButton="0" quotePrefix="0" xfId="0">
      <alignment horizontal="general" vertical="bottom"/>
    </xf>
    <xf numFmtId="0" fontId="20" fillId="2" borderId="0" applyAlignment="1" pivotButton="0" quotePrefix="0" xfId="0">
      <alignment horizontal="center" vertical="center"/>
    </xf>
    <xf numFmtId="0" fontId="19" fillId="10" borderId="0" applyAlignment="1" pivotButton="0" quotePrefix="0" xfId="0">
      <alignment horizontal="center" vertical="center"/>
    </xf>
    <xf numFmtId="0" fontId="7" fillId="2" borderId="5" applyAlignment="1" pivotButton="0" quotePrefix="0" xfId="0">
      <alignment horizontal="center" vertical="center" wrapText="1"/>
    </xf>
    <xf numFmtId="0" fontId="16" fillId="11" borderId="2" applyAlignment="1" pivotButton="0" quotePrefix="0" xfId="0">
      <alignment horizontal="center" vertical="center"/>
    </xf>
    <xf numFmtId="165" fontId="11" fillId="11" borderId="2" applyAlignment="1" pivotButton="0" quotePrefix="0" xfId="0">
      <alignment horizontal="center" vertical="center"/>
    </xf>
    <xf numFmtId="0" fontId="16" fillId="10" borderId="2" applyAlignment="1" pivotButton="0" quotePrefix="0" xfId="0">
      <alignment horizontal="center" vertical="center"/>
    </xf>
    <xf numFmtId="165" fontId="11" fillId="10" borderId="2" applyAlignment="1" pivotButton="0" quotePrefix="0" xfId="0">
      <alignment horizontal="center" vertical="center"/>
    </xf>
    <xf numFmtId="0" fontId="19" fillId="9" borderId="0" applyAlignment="1" pivotButton="0" quotePrefix="0" xfId="0">
      <alignment horizontal="center" vertical="center"/>
    </xf>
    <xf numFmtId="0" fontId="18" fillId="9" borderId="4" applyAlignment="1" pivotButton="0" quotePrefix="0" xfId="0">
      <alignment horizontal="center" vertical="center"/>
    </xf>
    <xf numFmtId="0" fontId="13" fillId="10" borderId="4" applyAlignment="1" pivotButton="0" quotePrefix="0" xfId="0">
      <alignment horizontal="general" vertical="bottom"/>
    </xf>
    <xf numFmtId="0" fontId="11" fillId="11" borderId="4" applyAlignment="1" pivotButton="0" quotePrefix="0" xfId="0">
      <alignment horizontal="center" vertical="center"/>
    </xf>
    <xf numFmtId="165" fontId="11" fillId="11" borderId="4" applyAlignment="1" pivotButton="0" quotePrefix="0" xfId="0">
      <alignment horizontal="center" vertical="center"/>
    </xf>
    <xf numFmtId="0" fontId="21" fillId="2" borderId="0" applyAlignment="1" pivotButton="0" quotePrefix="0" xfId="0">
      <alignment horizontal="center" vertical="center"/>
    </xf>
    <xf numFmtId="0" fontId="8" fillId="13" borderId="1" applyAlignment="1" pivotButton="0" quotePrefix="0" xfId="0">
      <alignment horizontal="left" vertical="center" wrapText="1"/>
    </xf>
    <xf numFmtId="0" fontId="9" fillId="11" borderId="1" applyAlignment="1" pivotButton="0" quotePrefix="0" xfId="0">
      <alignment horizontal="center" vertical="center" wrapText="1"/>
    </xf>
    <xf numFmtId="0" fontId="9" fillId="14" borderId="1" applyAlignment="1" pivotButton="0" quotePrefix="0" xfId="0">
      <alignment horizontal="center" vertical="center"/>
    </xf>
    <xf numFmtId="0" fontId="8" fillId="15" borderId="1" applyAlignment="1" pivotButton="0" quotePrefix="0" xfId="0">
      <alignment horizontal="center" vertical="center"/>
    </xf>
    <xf numFmtId="0" fontId="8" fillId="11" borderId="1" applyAlignment="1" pivotButton="0" quotePrefix="0" xfId="0">
      <alignment horizontal="left" vertical="center" wrapText="1"/>
    </xf>
    <xf numFmtId="0" fontId="9" fillId="5" borderId="1" applyAlignment="1" pivotButton="0" quotePrefix="0" xfId="0">
      <alignment horizontal="center" vertical="center" wrapText="1"/>
    </xf>
    <xf numFmtId="0" fontId="9" fillId="3" borderId="1" applyAlignment="1" pivotButton="0" quotePrefix="0" xfId="0">
      <alignment horizontal="center" vertical="center" wrapText="1"/>
    </xf>
    <xf numFmtId="0" fontId="7" fillId="2" borderId="1" applyAlignment="1" pivotButton="0" quotePrefix="0" xfId="0">
      <alignment horizontal="center" vertical="center"/>
    </xf>
    <xf numFmtId="0" fontId="13" fillId="6" borderId="1" applyAlignment="1" pivotButton="0" quotePrefix="0" xfId="0">
      <alignment horizontal="center" vertical="center"/>
    </xf>
    <xf numFmtId="0" fontId="13" fillId="5" borderId="1" applyAlignment="1" pivotButton="0" quotePrefix="0" xfId="0">
      <alignment horizontal="center" vertical="center"/>
    </xf>
    <xf numFmtId="0" fontId="13" fillId="3" borderId="1" applyAlignment="1" pivotButton="0" quotePrefix="0" xfId="0">
      <alignment horizontal="center" vertical="center"/>
    </xf>
    <xf numFmtId="0" fontId="22" fillId="11" borderId="1" applyAlignment="1" pivotButton="0" quotePrefix="0" xfId="0">
      <alignment horizontal="center" vertical="center"/>
    </xf>
    <xf numFmtId="0" fontId="21" fillId="2" borderId="0" applyAlignment="1" pivotButton="0" quotePrefix="0" xfId="0">
      <alignment horizontal="center" vertical="center"/>
    </xf>
    <xf numFmtId="0" fontId="5" fillId="2" borderId="0" applyAlignment="1" pivotButton="0" quotePrefix="0" xfId="0">
      <alignment horizontal="center" vertical="center"/>
    </xf>
    <xf numFmtId="0" fontId="13" fillId="4" borderId="6" applyAlignment="1" pivotButton="0" quotePrefix="0" xfId="0">
      <alignment horizontal="left" vertical="center" wrapText="1"/>
    </xf>
    <xf numFmtId="0" fontId="8" fillId="13" borderId="1" applyAlignment="1" pivotButton="0" quotePrefix="0" xfId="0">
      <alignment horizontal="center" vertical="center"/>
    </xf>
    <xf numFmtId="0" fontId="11" fillId="13" borderId="1" applyAlignment="1" pivotButton="0" quotePrefix="0" xfId="0">
      <alignment horizontal="left" vertical="center" wrapText="1"/>
    </xf>
    <xf numFmtId="0" fontId="8" fillId="11" borderId="1" applyAlignment="1" pivotButton="0" quotePrefix="0" xfId="0">
      <alignment horizontal="center" vertical="center"/>
    </xf>
    <xf numFmtId="0" fontId="23" fillId="12" borderId="6" applyAlignment="1" pivotButton="0" quotePrefix="0" xfId="0">
      <alignment horizontal="center" vertical="center"/>
    </xf>
    <xf numFmtId="0" fontId="10" fillId="10" borderId="6" applyAlignment="1" pivotButton="0" quotePrefix="0" xfId="0">
      <alignment horizontal="left" vertical="center" wrapText="1"/>
    </xf>
    <xf numFmtId="0" fontId="0" fillId="0" borderId="0" applyAlignment="1" pivotButton="0" quotePrefix="0" xfId="0">
      <alignment horizontal="general" vertical="bottom"/>
    </xf>
    <xf numFmtId="0" fontId="0" fillId="0" borderId="0" pivotButton="0" quotePrefix="0" xfId="0"/>
    <xf numFmtId="0" fontId="4" fillId="2" borderId="0" applyAlignment="1" pivotButton="0" quotePrefix="0" xfId="0">
      <alignment horizontal="center" vertical="center"/>
    </xf>
    <xf numFmtId="0" fontId="5" fillId="2" borderId="0" applyAlignment="1" pivotButton="0" quotePrefix="0" xfId="0">
      <alignment horizontal="center" vertical="center"/>
    </xf>
    <xf numFmtId="0" fontId="6" fillId="2" borderId="1" applyAlignment="1" pivotButton="0" quotePrefix="0" xfId="0">
      <alignment horizontal="center" vertical="center" wrapText="1"/>
    </xf>
    <xf numFmtId="0" fontId="7" fillId="2" borderId="1" applyAlignment="1" pivotButton="0" quotePrefix="0" xfId="0">
      <alignment horizontal="center" vertical="center" wrapText="1"/>
    </xf>
    <xf numFmtId="0" fontId="24" fillId="16" borderId="0" applyAlignment="1" pivotButton="0" quotePrefix="0" xfId="0">
      <alignment horizontal="center" vertical="center" wrapText="1"/>
    </xf>
    <xf numFmtId="0" fontId="8" fillId="3" borderId="1" applyAlignment="1" pivotButton="0" quotePrefix="0" xfId="0">
      <alignment horizontal="center" vertical="center"/>
    </xf>
    <xf numFmtId="167" fontId="8" fillId="3" borderId="1" applyAlignment="1" pivotButton="0" quotePrefix="0" xfId="0">
      <alignment horizontal="center" vertical="center"/>
    </xf>
    <xf numFmtId="0" fontId="8" fillId="3" borderId="1" applyAlignment="1" pivotButton="0" quotePrefix="0" xfId="0">
      <alignment horizontal="left" vertical="center" wrapText="1"/>
    </xf>
    <xf numFmtId="0" fontId="8" fillId="3" borderId="2" applyAlignment="1" pivotButton="0" quotePrefix="0" xfId="0">
      <alignment horizontal="center" vertical="center"/>
    </xf>
    <xf numFmtId="0" fontId="9" fillId="3" borderId="1" applyAlignment="1" pivotButton="0" quotePrefix="0" xfId="0">
      <alignment horizontal="center" vertical="center"/>
    </xf>
    <xf numFmtId="0" fontId="10" fillId="3" borderId="1" applyAlignment="1" pivotButton="0" quotePrefix="0" xfId="0">
      <alignment horizontal="center" vertical="center"/>
    </xf>
    <xf numFmtId="0" fontId="9" fillId="4" borderId="1" applyAlignment="1" pivotButton="0" quotePrefix="0" xfId="0">
      <alignment horizontal="center" vertical="center"/>
    </xf>
    <xf numFmtId="0" fontId="25" fillId="0" borderId="0" applyAlignment="1" pivotButton="0" quotePrefix="0" xfId="0">
      <alignment horizontal="center" vertical="center"/>
    </xf>
    <xf numFmtId="0" fontId="8" fillId="5" borderId="1" applyAlignment="1" pivotButton="0" quotePrefix="0" xfId="0">
      <alignment horizontal="center" vertical="center"/>
    </xf>
    <xf numFmtId="167" fontId="8" fillId="5" borderId="1" applyAlignment="1" pivotButton="0" quotePrefix="0" xfId="0">
      <alignment horizontal="center" vertical="center"/>
    </xf>
    <xf numFmtId="0" fontId="8" fillId="5" borderId="1" applyAlignment="1" pivotButton="0" quotePrefix="0" xfId="0">
      <alignment horizontal="left" vertical="center" wrapText="1"/>
    </xf>
    <xf numFmtId="0" fontId="8" fillId="5" borderId="2" applyAlignment="1" pivotButton="0" quotePrefix="0" xfId="0">
      <alignment horizontal="center" vertical="center"/>
    </xf>
    <xf numFmtId="0" fontId="11" fillId="5" borderId="1" applyAlignment="1" pivotButton="0" quotePrefix="0" xfId="0">
      <alignment horizontal="left" vertical="center" wrapText="1"/>
    </xf>
    <xf numFmtId="0" fontId="9" fillId="5" borderId="1" applyAlignment="1" pivotButton="0" quotePrefix="0" xfId="0">
      <alignment horizontal="center" vertical="center"/>
    </xf>
    <xf numFmtId="0" fontId="8" fillId="6" borderId="1" applyAlignment="1" pivotButton="0" quotePrefix="0" xfId="0">
      <alignment horizontal="center" vertical="center"/>
    </xf>
    <xf numFmtId="167" fontId="8" fillId="6" borderId="1" applyAlignment="1" pivotButton="0" quotePrefix="0" xfId="0">
      <alignment horizontal="center" vertical="center"/>
    </xf>
    <xf numFmtId="0" fontId="8" fillId="6" borderId="1" applyAlignment="1" pivotButton="0" quotePrefix="0" xfId="0">
      <alignment horizontal="left" vertical="center" wrapText="1"/>
    </xf>
    <xf numFmtId="0" fontId="8" fillId="6" borderId="2" applyAlignment="1" pivotButton="0" quotePrefix="0" xfId="0">
      <alignment horizontal="center" vertical="center"/>
    </xf>
    <xf numFmtId="0" fontId="9" fillId="6" borderId="1" applyAlignment="1" pivotButton="0" quotePrefix="0" xfId="0">
      <alignment horizontal="center" vertical="center"/>
    </xf>
    <xf numFmtId="0" fontId="10" fillId="6" borderId="1" applyAlignment="1" pivotButton="0" quotePrefix="0" xfId="0">
      <alignment horizontal="center" vertical="center"/>
    </xf>
    <xf numFmtId="0" fontId="8" fillId="4" borderId="1" applyAlignment="1" pivotButton="0" quotePrefix="0" xfId="0">
      <alignment horizontal="center" vertical="center"/>
    </xf>
    <xf numFmtId="167" fontId="8" fillId="4" borderId="1" applyAlignment="1" pivotButton="0" quotePrefix="0" xfId="0">
      <alignment horizontal="center" vertical="center"/>
    </xf>
    <xf numFmtId="0" fontId="8" fillId="4" borderId="1" applyAlignment="1" pivotButton="0" quotePrefix="0" xfId="0">
      <alignment horizontal="left" vertical="center" wrapText="1"/>
    </xf>
    <xf numFmtId="0" fontId="8" fillId="4" borderId="2" applyAlignment="1" pivotButton="0" quotePrefix="0" xfId="0">
      <alignment horizontal="center" vertical="center"/>
    </xf>
    <xf numFmtId="0" fontId="10" fillId="4" borderId="1" applyAlignment="1" pivotButton="0" quotePrefix="0" xfId="0">
      <alignment horizontal="center" vertical="center"/>
    </xf>
    <xf numFmtId="0" fontId="8" fillId="7" borderId="1" applyAlignment="1" pivotButton="0" quotePrefix="0" xfId="0">
      <alignment horizontal="center" vertical="center"/>
    </xf>
    <xf numFmtId="167" fontId="8" fillId="7" borderId="1" applyAlignment="1" pivotButton="0" quotePrefix="0" xfId="0">
      <alignment horizontal="center" vertical="center"/>
    </xf>
    <xf numFmtId="0" fontId="8" fillId="7" borderId="1" applyAlignment="1" pivotButton="0" quotePrefix="0" xfId="0">
      <alignment horizontal="left" vertical="center" wrapText="1"/>
    </xf>
    <xf numFmtId="0" fontId="8" fillId="7" borderId="2" applyAlignment="1" pivotButton="0" quotePrefix="0" xfId="0">
      <alignment horizontal="center" vertical="center"/>
    </xf>
    <xf numFmtId="0" fontId="10" fillId="7" borderId="1" applyAlignment="1" pivotButton="0" quotePrefix="0" xfId="0">
      <alignment horizontal="center" vertical="center"/>
    </xf>
    <xf numFmtId="0" fontId="12" fillId="8" borderId="0" applyAlignment="1" pivotButton="0" quotePrefix="0" xfId="0">
      <alignment horizontal="left" vertical="center"/>
    </xf>
    <xf numFmtId="0" fontId="13" fillId="0" borderId="0" applyAlignment="1" pivotButton="0" quotePrefix="0" xfId="0">
      <alignment horizontal="right" vertical="center"/>
    </xf>
    <xf numFmtId="164" fontId="14" fillId="9" borderId="3" applyAlignment="1" pivotButton="0" quotePrefix="0" xfId="0">
      <alignment horizontal="center" vertical="center"/>
    </xf>
    <xf numFmtId="0" fontId="15" fillId="0" borderId="0" applyAlignment="1" pivotButton="0" quotePrefix="0" xfId="0">
      <alignment horizontal="general" vertical="bottom"/>
    </xf>
    <xf numFmtId="0" fontId="6" fillId="2" borderId="0" applyAlignment="1" pivotButton="0" quotePrefix="0" xfId="0">
      <alignment horizontal="center" vertical="center"/>
    </xf>
    <xf numFmtId="0" fontId="16" fillId="10" borderId="2" applyAlignment="1" pivotButton="0" quotePrefix="0" xfId="0">
      <alignment horizontal="center" vertical="center" wrapText="1"/>
    </xf>
    <xf numFmtId="0" fontId="17" fillId="11" borderId="2" applyAlignment="1" pivotButton="0" quotePrefix="0" xfId="0">
      <alignment horizontal="center" vertical="center"/>
    </xf>
    <xf numFmtId="0" fontId="6" fillId="12" borderId="0" applyAlignment="1" pivotButton="0" quotePrefix="0" xfId="0">
      <alignment horizontal="center" vertical="center"/>
    </xf>
    <xf numFmtId="0" fontId="18" fillId="9" borderId="4" applyAlignment="1" pivotButton="0" quotePrefix="0" xfId="0">
      <alignment horizontal="center" vertical="center" wrapText="1"/>
    </xf>
    <xf numFmtId="9" fontId="17" fillId="11" borderId="4" applyAlignment="1" pivotButton="0" quotePrefix="0" xfId="0">
      <alignment horizontal="center" vertical="center"/>
    </xf>
    <xf numFmtId="0" fontId="17" fillId="11" borderId="4" applyAlignment="1" pivotButton="0" quotePrefix="0" xfId="0">
      <alignment horizontal="center" vertical="center"/>
    </xf>
    <xf numFmtId="0" fontId="19" fillId="11" borderId="4" applyAlignment="1" pivotButton="0" quotePrefix="0" xfId="0">
      <alignment horizontal="center" vertical="center"/>
    </xf>
    <xf numFmtId="0" fontId="0" fillId="0" borderId="9" pivotButton="0" quotePrefix="0" xfId="0"/>
    <xf numFmtId="0" fontId="0" fillId="0" borderId="10" pivotButton="0" quotePrefix="0" xfId="0"/>
    <xf numFmtId="0" fontId="11" fillId="11" borderId="2" applyAlignment="1" pivotButton="0" quotePrefix="0" xfId="0">
      <alignment horizontal="left" vertical="center" wrapText="1"/>
    </xf>
    <xf numFmtId="0" fontId="11" fillId="11" borderId="2" applyAlignment="1" pivotButton="0" quotePrefix="0" xfId="0">
      <alignment horizontal="center" vertical="center" wrapText="1"/>
    </xf>
    <xf numFmtId="9" fontId="11" fillId="11" borderId="2" applyAlignment="1" pivotButton="0" quotePrefix="0" xfId="0">
      <alignment horizontal="center" vertical="center" wrapText="1"/>
    </xf>
    <xf numFmtId="0" fontId="11" fillId="11" borderId="2" applyAlignment="1" pivotButton="0" quotePrefix="0" xfId="0">
      <alignment horizontal="center" vertical="center"/>
    </xf>
    <xf numFmtId="0" fontId="11" fillId="10" borderId="2" applyAlignment="1" pivotButton="0" quotePrefix="0" xfId="0">
      <alignment horizontal="left" vertical="center" wrapText="1"/>
    </xf>
    <xf numFmtId="0" fontId="11" fillId="10" borderId="2" applyAlignment="1" pivotButton="0" quotePrefix="0" xfId="0">
      <alignment horizontal="center" vertical="center" wrapText="1"/>
    </xf>
    <xf numFmtId="9" fontId="11" fillId="10" borderId="2" applyAlignment="1" pivotButton="0" quotePrefix="0" xfId="0">
      <alignment horizontal="center" vertical="center" wrapText="1"/>
    </xf>
    <xf numFmtId="0" fontId="11" fillId="10" borderId="2" applyAlignment="1" pivotButton="0" quotePrefix="0" xfId="0">
      <alignment horizontal="center" vertical="center"/>
    </xf>
    <xf numFmtId="0" fontId="13" fillId="8" borderId="2" applyAlignment="1" pivotButton="0" quotePrefix="0" xfId="0">
      <alignment horizontal="general" vertical="bottom"/>
    </xf>
    <xf numFmtId="165" fontId="13" fillId="8" borderId="2" applyAlignment="1" pivotButton="0" quotePrefix="0" xfId="0">
      <alignment horizontal="general" vertical="bottom"/>
    </xf>
    <xf numFmtId="0" fontId="0" fillId="0" borderId="2" applyAlignment="1" pivotButton="0" quotePrefix="0" xfId="0">
      <alignment horizontal="general" vertical="bottom"/>
    </xf>
    <xf numFmtId="0" fontId="0" fillId="10" borderId="2" applyAlignment="1" pivotButton="0" quotePrefix="0" xfId="0">
      <alignment horizontal="general" vertical="bottom"/>
    </xf>
    <xf numFmtId="0" fontId="26" fillId="16" borderId="2" applyAlignment="1" pivotButton="0" quotePrefix="0" xfId="0">
      <alignment horizontal="general" vertical="bottom"/>
    </xf>
    <xf numFmtId="0" fontId="0" fillId="11" borderId="2" applyAlignment="1" pivotButton="0" quotePrefix="0" xfId="0">
      <alignment horizontal="general" vertical="bottom"/>
    </xf>
    <xf numFmtId="0" fontId="24" fillId="17" borderId="2" applyAlignment="1" pivotButton="0" quotePrefix="0" xfId="0">
      <alignment horizontal="general" vertical="bottom"/>
    </xf>
    <xf numFmtId="9" fontId="0" fillId="11" borderId="2" applyAlignment="1" pivotButton="0" quotePrefix="0" xfId="0">
      <alignment horizontal="general" vertical="bottom"/>
    </xf>
    <xf numFmtId="9" fontId="0" fillId="10" borderId="2" applyAlignment="1" pivotButton="0" quotePrefix="0" xfId="0">
      <alignment horizontal="general" vertical="bottom"/>
    </xf>
    <xf numFmtId="9" fontId="0" fillId="0" borderId="0" pivotButton="0" quotePrefix="0" xfId="0"/>
    <xf numFmtId="0" fontId="20" fillId="2" borderId="0" applyAlignment="1" pivotButton="0" quotePrefix="0" xfId="0">
      <alignment horizontal="center" vertical="center"/>
    </xf>
    <xf numFmtId="0" fontId="27" fillId="10" borderId="0" applyAlignment="1" pivotButton="0" quotePrefix="0" xfId="0">
      <alignment horizontal="center" vertical="center"/>
    </xf>
    <xf numFmtId="0" fontId="7" fillId="2" borderId="5" applyAlignment="1" pivotButton="0" quotePrefix="0" xfId="0">
      <alignment horizontal="center" vertical="center" wrapText="1"/>
    </xf>
    <xf numFmtId="0" fontId="16" fillId="11" borderId="2" applyAlignment="1" pivotButton="0" quotePrefix="0" xfId="0">
      <alignment horizontal="center" vertical="center"/>
    </xf>
    <xf numFmtId="9" fontId="11" fillId="11" borderId="2" applyAlignment="1" pivotButton="0" quotePrefix="0" xfId="0">
      <alignment horizontal="center" vertical="center"/>
    </xf>
    <xf numFmtId="0" fontId="16" fillId="10" borderId="2" applyAlignment="1" pivotButton="0" quotePrefix="0" xfId="0">
      <alignment horizontal="center" vertical="center"/>
    </xf>
    <xf numFmtId="9" fontId="11" fillId="10" borderId="2" applyAlignment="1" pivotButton="0" quotePrefix="0" xfId="0">
      <alignment horizontal="center" vertical="center"/>
    </xf>
    <xf numFmtId="0" fontId="28" fillId="9" borderId="0" applyAlignment="1" pivotButton="0" quotePrefix="0" xfId="0">
      <alignment horizontal="center" vertical="center"/>
    </xf>
    <xf numFmtId="0" fontId="18" fillId="9" borderId="4" applyAlignment="1" pivotButton="0" quotePrefix="0" xfId="0">
      <alignment horizontal="center" vertical="center"/>
    </xf>
    <xf numFmtId="0" fontId="13" fillId="10" borderId="4" applyAlignment="1" pivotButton="0" quotePrefix="0" xfId="0">
      <alignment horizontal="general" vertical="bottom"/>
    </xf>
    <xf numFmtId="0" fontId="11" fillId="11" borderId="4" applyAlignment="1" pivotButton="0" quotePrefix="0" xfId="0">
      <alignment horizontal="center" vertical="center"/>
    </xf>
    <xf numFmtId="165" fontId="11" fillId="11" borderId="4" applyAlignment="1" pivotButton="0" quotePrefix="0" xfId="0">
      <alignment horizontal="center" vertical="center"/>
    </xf>
    <xf numFmtId="0" fontId="0" fillId="0" borderId="13" pivotButton="0" quotePrefix="0" xfId="0"/>
    <xf numFmtId="0" fontId="21" fillId="2" borderId="0" applyAlignment="1" pivotButton="0" quotePrefix="0" xfId="0">
      <alignment horizontal="center" vertical="center"/>
    </xf>
    <xf numFmtId="0" fontId="8" fillId="13" borderId="1" applyAlignment="1" pivotButton="0" quotePrefix="0" xfId="0">
      <alignment horizontal="left" vertical="center" wrapText="1"/>
    </xf>
    <xf numFmtId="0" fontId="9" fillId="11" borderId="1" applyAlignment="1" pivotButton="0" quotePrefix="0" xfId="0">
      <alignment horizontal="center" vertical="center" wrapText="1"/>
    </xf>
    <xf numFmtId="0" fontId="9" fillId="14" borderId="1" applyAlignment="1" pivotButton="0" quotePrefix="0" xfId="0">
      <alignment horizontal="center" vertical="center"/>
    </xf>
    <xf numFmtId="0" fontId="8" fillId="15" borderId="1" applyAlignment="1" pivotButton="0" quotePrefix="0" xfId="0">
      <alignment horizontal="center" vertical="center"/>
    </xf>
    <xf numFmtId="0" fontId="8" fillId="11" borderId="1" applyAlignment="1" pivotButton="0" quotePrefix="0" xfId="0">
      <alignment horizontal="left" vertical="center" wrapText="1"/>
    </xf>
    <xf numFmtId="0" fontId="9" fillId="5" borderId="1" applyAlignment="1" pivotButton="0" quotePrefix="0" xfId="0">
      <alignment horizontal="center" vertical="center" wrapText="1"/>
    </xf>
    <xf numFmtId="0" fontId="9" fillId="3" borderId="1" applyAlignment="1" pivotButton="0" quotePrefix="0" xfId="0">
      <alignment horizontal="center" vertical="center" wrapText="1"/>
    </xf>
    <xf numFmtId="0" fontId="7" fillId="2" borderId="1" applyAlignment="1" pivotButton="0" quotePrefix="0" xfId="0">
      <alignment horizontal="center" vertical="center"/>
    </xf>
    <xf numFmtId="0" fontId="13" fillId="6" borderId="1" applyAlignment="1" pivotButton="0" quotePrefix="0" xfId="0">
      <alignment horizontal="center" vertical="center"/>
    </xf>
    <xf numFmtId="0" fontId="13" fillId="5" borderId="1" applyAlignment="1" pivotButton="0" quotePrefix="0" xfId="0">
      <alignment horizontal="center" vertical="center"/>
    </xf>
    <xf numFmtId="0" fontId="13" fillId="3" borderId="1" applyAlignment="1" pivotButton="0" quotePrefix="0" xfId="0">
      <alignment horizontal="center" vertical="center"/>
    </xf>
    <xf numFmtId="0" fontId="22" fillId="11" borderId="1" applyAlignment="1" pivotButton="0" quotePrefix="0" xfId="0">
      <alignment horizontal="center" vertical="center"/>
    </xf>
    <xf numFmtId="0" fontId="29" fillId="0" borderId="0" pivotButton="0" quotePrefix="0" xfId="0"/>
    <xf numFmtId="0" fontId="13" fillId="4" borderId="6" applyAlignment="1" pivotButton="0" quotePrefix="0" xfId="0">
      <alignment horizontal="left" vertical="center" wrapText="1"/>
    </xf>
    <xf numFmtId="0" fontId="0" fillId="0" borderId="15" pivotButton="0" quotePrefix="0" xfId="0"/>
    <xf numFmtId="0" fontId="30" fillId="0" borderId="0" pivotButton="0" quotePrefix="0" xfId="0"/>
    <xf numFmtId="0" fontId="8" fillId="13" borderId="1" applyAlignment="1" pivotButton="0" quotePrefix="0" xfId="0">
      <alignment horizontal="center" vertical="center"/>
    </xf>
    <xf numFmtId="0" fontId="11" fillId="13" borderId="1" applyAlignment="1" pivotButton="0" quotePrefix="0" xfId="0">
      <alignment horizontal="left" vertical="center" wrapText="1"/>
    </xf>
    <xf numFmtId="0" fontId="8" fillId="11" borderId="1" applyAlignment="1" pivotButton="0" quotePrefix="0" xfId="0">
      <alignment horizontal="center" vertical="center"/>
    </xf>
    <xf numFmtId="0" fontId="31" fillId="0" borderId="0" pivotButton="0" quotePrefix="0" xfId="0"/>
    <xf numFmtId="0" fontId="23" fillId="12" borderId="6" applyAlignment="1" pivotButton="0" quotePrefix="0" xfId="0">
      <alignment horizontal="center" vertical="center"/>
    </xf>
    <xf numFmtId="0" fontId="10" fillId="10" borderId="6" applyAlignment="1" pivotButton="0" quotePrefix="0" xfId="0">
      <alignment horizontal="left" vertical="center" wrapText="1"/>
    </xf>
  </cellXfs>
  <cellStyles count="6">
    <cellStyle name="Normal" xfId="0" builtinId="0"/>
    <cellStyle name="Comma" xfId="1" builtinId="3"/>
    <cellStyle name="Comma [0]" xfId="2" builtinId="6"/>
    <cellStyle name="Currency" xfId="3" builtinId="4"/>
    <cellStyle name="Currency [0]" xfId="4" builtinId="7"/>
    <cellStyle name="Percent" xfId="5" builtinId="5"/>
  </cellStyles>
  <dxfs count="6">
    <dxf>
      <font>
        <name val="Arial"/>
        <charset val="1"/>
        <family val="0"/>
        <b val="1"/>
        <color rgb="FF16A34A"/>
        <sz val="9"/>
      </font>
      <fill>
        <patternFill>
          <bgColor rgb="FFDCFCE7"/>
        </patternFill>
      </fill>
    </dxf>
    <dxf>
      <font>
        <name val="Arial"/>
        <charset val="1"/>
        <family val="0"/>
        <b val="1"/>
        <color rgb="FFDC2626"/>
        <sz val="9"/>
      </font>
      <fill>
        <patternFill>
          <bgColor rgb="FFFEE2E2"/>
        </patternFill>
      </fill>
    </dxf>
    <dxf>
      <font>
        <name val="Arial"/>
        <charset val="1"/>
        <family val="0"/>
        <b val="1"/>
        <color rgb="FFCA8A04"/>
        <sz val="9"/>
      </font>
      <fill>
        <patternFill>
          <bgColor rgb="FFFEF9C3"/>
        </patternFill>
      </fill>
    </dxf>
    <dxf>
      <fill>
        <patternFill patternType="solid">
          <fgColor rgb="00CCFFCC"/>
        </patternFill>
      </fill>
    </dxf>
    <dxf>
      <fill>
        <patternFill patternType="solid">
          <fgColor rgb="00FFCCCC"/>
        </patternFill>
      </fill>
    </dxf>
    <dxf>
      <fill>
        <patternFill patternType="solid">
          <fgColor rgb="00FFF3CC"/>
        </patternFill>
      </fill>
    </dxf>
  </dxfs>
  <colors>
    <indexedColors>
      <rgbColor rgb="FF000000"/>
      <rgbColor rgb="FFFFFFFF"/>
      <rgbColor rgb="FFDC2626"/>
      <rgbColor rgb="FF00FF00"/>
      <rgbColor rgb="FF0000FF"/>
      <rgbColor rgb="FFFFF3E0"/>
      <rgbColor rgb="FFFF00FF"/>
      <rgbColor rgb="FF00FFFF"/>
      <rgbColor rgb="FF800000"/>
      <rgbColor rgb="FF008000"/>
      <rgbColor rgb="FF000080"/>
      <rgbColor rgb="FF808000"/>
      <rgbColor rgb="FF800080"/>
      <rgbColor rgb="FF0E6B75"/>
      <rgbColor rgb="FFCCCCCC"/>
      <rgbColor rgb="FF808080"/>
      <rgbColor rgb="FFE6F2F3"/>
      <rgbColor rgb="FF993366"/>
      <rgbColor rgb="FFFEF9C3"/>
      <rgbColor rgb="FFDCFCE7"/>
      <rgbColor rgb="FF660066"/>
      <rgbColor rgb="FFF2F2F2"/>
      <rgbColor rgb="FF0066CC"/>
      <rgbColor rgb="FFE5E7EB"/>
      <rgbColor rgb="FF000080"/>
      <rgbColor rgb="FFFF00FF"/>
      <rgbColor rgb="FFFBF7EE"/>
      <rgbColor rgb="FF00FFFF"/>
      <rgbColor rgb="FF800080"/>
      <rgbColor rgb="FF800000"/>
      <rgbColor rgb="FF008080"/>
      <rgbColor rgb="FF0000FF"/>
      <rgbColor rgb="FF00CCFF"/>
      <rgbColor rgb="FFD6EDEF"/>
      <rgbColor rgb="FFE8F5E9"/>
      <rgbColor rgb="FFFAF0DC"/>
      <rgbColor rgb="FFE3F2FD"/>
      <rgbColor rgb="FFF3E5F5"/>
      <rgbColor rgb="FFFDECEA"/>
      <rgbColor rgb="FFFEE2E2"/>
      <rgbColor rgb="FF3366FF"/>
      <rgbColor rgb="FF33CCCC"/>
      <rgbColor rgb="FF99CC00"/>
      <rgbColor rgb="FFF7F4EF"/>
      <rgbColor rgb="FFCA8A04"/>
      <rgbColor rgb="FFFF6600"/>
      <rgbColor rgb="FF6B7280"/>
      <rgbColor rgb="FFC4974A"/>
      <rgbColor rgb="FF003366"/>
      <rgbColor rgb="FF16A34A"/>
      <rgbColor rgb="FF003300"/>
      <rgbColor rgb="FF1A1A1A"/>
      <rgbColor rgb="FF993300"/>
      <rgbColor rgb="FF993366"/>
      <rgbColor rgb="FF333399"/>
      <rgbColor rgb="FF4A4A4A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styles" Target="styles.xml" Id="rId6"/><Relationship Type="http://schemas.openxmlformats.org/officeDocument/2006/relationships/theme" Target="theme/theme1.xml" Id="rId7"/>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>
  <sheetPr filterMode="0">
    <outlinePr summaryBelow="1" summaryRight="1"/>
    <pageSetUpPr fitToPage="0"/>
  </sheetPr>
  <dimension ref="A1:U200"/>
  <sheetViews>
    <sheetView showFormulas="0" showGridLines="0" showRowColHeaders="1" showZeros="1" rightToLeft="0" tabSelected="1" showOutlineSymbols="1" defaultGridColor="1" view="normal" topLeftCell="A1" colorId="64" zoomScale="100" zoomScaleNormal="100" zoomScalePageLayoutView="100" workbookViewId="0">
      <pane xSplit="0" ySplit="3" topLeftCell="A4" activePane="bottomLeft" state="frozen"/>
      <selection pane="topLeft" activeCell="A1" activeCellId="0" sqref="A1"/>
      <selection pane="bottomLeft" activeCell="A1" activeCellId="0" sqref="A1"/>
    </sheetView>
  </sheetViews>
  <sheetFormatPr baseColWidth="8" defaultColWidth="8.6796875" defaultRowHeight="15" zeroHeight="0" outlineLevelRow="0"/>
  <cols>
    <col width="6" customWidth="1" style="89" min="1" max="1"/>
    <col width="12" customWidth="1" style="89" min="2" max="2"/>
    <col width="8" customWidth="1" style="89" min="3" max="3"/>
    <col width="18" customWidth="1" style="89" min="4" max="4"/>
    <col width="14" customWidth="1" style="89" min="5" max="6"/>
    <col width="28" customWidth="1" style="89" min="7" max="7"/>
    <col width="18" customWidth="1" style="89" min="8" max="8"/>
    <col width="22" customWidth="1" style="89" min="9" max="9"/>
    <col width="14" customWidth="1" style="89" min="10" max="10"/>
    <col width="18" customWidth="1" style="89" min="11" max="11"/>
    <col width="14" customWidth="1" style="89" min="12" max="12"/>
    <col width="28" customWidth="1" style="89" min="13" max="13"/>
    <col width="32" customWidth="1" style="89" min="14" max="14"/>
    <col width="14" customWidth="1" style="89" min="15" max="15"/>
    <col width="16" customWidth="1" style="89" min="16" max="16"/>
    <col width="14" customWidth="1" style="89" min="17" max="17"/>
    <col width="28" customWidth="1" style="89" min="18" max="18"/>
  </cols>
  <sheetData>
    <row r="1" ht="36" customHeight="1" s="90">
      <c r="A1" s="91" t="inlineStr">
        <is>
          <t>SKUNDŲ IR ATSILIEPIMŲ REGISTRAS</t>
        </is>
      </c>
    </row>
    <row r="2" ht="19.5" customHeight="1" s="90">
      <c r="A2" s="92" t="inlineStr">
        <is>
          <t>ExperienceFirst · Realaus laiko stebėsena</t>
        </is>
      </c>
    </row>
    <row r="3" ht="43.5" customHeight="1" s="90">
      <c r="A3" s="93" t="inlineStr">
        <is>
          <t>Nr.</t>
        </is>
      </c>
      <c r="B3" s="93" t="inlineStr">
        <is>
          <t>Data</t>
        </is>
      </c>
      <c r="C3" s="94" t="inlineStr">
        <is>
          <t>Aptarnavimo
specialistas</t>
        </is>
      </c>
      <c r="D3" s="93" t="inlineStr">
        <is>
          <t>Kategorija</t>
        </is>
      </c>
      <c r="E3" s="94" t="inlineStr">
        <is>
          <t>FCR:
Išspręsta
pirame kontakte?</t>
        </is>
      </c>
      <c r="F3" s="93" t="inlineStr">
        <is>
          <t>Kanalas</t>
        </is>
      </c>
      <c r="G3" s="93" t="inlineStr">
        <is>
          <t>Kliento problema
(trumpai)</t>
        </is>
      </c>
      <c r="H3" s="93" t="inlineStr">
        <is>
          <t>Proceso etapas</t>
        </is>
      </c>
      <c r="I3" s="93" t="inlineStr">
        <is>
          <t>Šakninė priežastis</t>
        </is>
      </c>
      <c r="J3" s="93" t="inlineStr">
        <is>
          <t>Pasikartoja?</t>
        </is>
      </c>
      <c r="K3" s="93" t="inlineStr">
        <is>
          <t>Verslo poveikis</t>
        </is>
      </c>
      <c r="L3" s="93" t="inlineStr">
        <is>
          <t>Prioritetas</t>
        </is>
      </c>
      <c r="M3" s="93" t="inlineStr">
        <is>
          <t>Veiksmas
(momentinis)</t>
        </is>
      </c>
      <c r="N3" s="93" t="inlineStr">
        <is>
          <t>Korekcinis veiksmas
(neatitiktims — privaloma)</t>
        </is>
      </c>
      <c r="O3" s="93" t="inlineStr">
        <is>
          <t>Korekcijos
terminas</t>
        </is>
      </c>
      <c r="P3" s="93" t="inlineStr">
        <is>
          <t>Atsakingas asmuo</t>
        </is>
      </c>
      <c r="Q3" s="93" t="inlineStr">
        <is>
          <t>Terminas</t>
        </is>
      </c>
      <c r="R3" s="93" t="inlineStr">
        <is>
          <t>Statusas</t>
        </is>
      </c>
      <c r="S3" s="93" t="inlineStr">
        <is>
          <t>Uždarymo data</t>
        </is>
      </c>
      <c r="T3" s="95" t="inlineStr">
        <is>
          <t>SLA
įvykdyta?</t>
        </is>
      </c>
      <c r="U3" s="93" t="inlineStr">
        <is>
          <t>Pastabos</t>
        </is>
      </c>
    </row>
    <row r="4" ht="60" customHeight="1" s="90">
      <c r="A4" s="96" t="n">
        <v>4</v>
      </c>
      <c r="B4" s="97" t="n">
        <v>45833</v>
      </c>
      <c r="C4" s="96" t="n"/>
      <c r="D4" s="98" t="inlineStr">
        <is>
          <t>Skundas pagrįstas</t>
        </is>
      </c>
      <c r="E4" s="99" t="inlineStr">
        <is>
          <t>Ne</t>
        </is>
      </c>
      <c r="F4" s="98" t="inlineStr">
        <is>
          <t>El. paštas</t>
        </is>
      </c>
      <c r="G4" s="98" t="inlineStr">
        <is>
          <t>Pristatymas vėlavo 3 d.</t>
        </is>
      </c>
      <c r="H4" s="98" t="inlineStr">
        <is>
          <t>Pristatymas</t>
        </is>
      </c>
      <c r="I4" s="98" t="inlineStr">
        <is>
          <t>Logistikos proceso spragos</t>
        </is>
      </c>
      <c r="J4" s="98" t="inlineStr">
        <is>
          <t>Taip – 3x šį mėn.</t>
        </is>
      </c>
      <c r="K4" s="98" t="inlineStr">
        <is>
          <t>Kliento praradimas</t>
        </is>
      </c>
      <c r="L4" s="100" t="inlineStr">
        <is>
          <t>🔴 Aukštas</t>
        </is>
      </c>
      <c r="M4" s="98" t="inlineStr">
        <is>
          <t>1) Skambinti klientui iki 14:00
2) Pasiūlyti kompensaciją
3) Perduoti logistikos vadovui</t>
        </is>
      </c>
      <c r="N4" s="101" t="inlineStr">
        <is>
          <t>—</t>
        </is>
      </c>
      <c r="O4" s="101" t="inlineStr">
        <is>
          <t>—</t>
        </is>
      </c>
      <c r="P4" s="98" t="inlineStr">
        <is>
          <t>Komandos vadovas</t>
        </is>
      </c>
      <c r="Q4" s="98" t="inlineStr">
        <is>
          <t>2025-06-26</t>
        </is>
      </c>
      <c r="R4" s="102" t="inlineStr">
        <is>
          <t>Vykdoma</t>
        </is>
      </c>
      <c r="S4" s="98" t="n"/>
      <c r="T4" s="103">
        <f>IF(R4="Uždarytas",IF(S4=""," —",IF(S4&lt;=Q4,"✅","❌")),IF(TODAY()&gt;Q4,"❌","⏳"))</f>
        <v/>
      </c>
      <c r="U4" s="98" t="inlineStr">
        <is>
          <t>Pakartotinis skambutis planuojamas</t>
        </is>
      </c>
    </row>
    <row r="5" ht="60" customHeight="1" s="90">
      <c r="A5" s="104" t="n">
        <v>5</v>
      </c>
      <c r="B5" s="105" t="n">
        <v>45833</v>
      </c>
      <c r="C5" s="104" t="n"/>
      <c r="D5" s="106" t="inlineStr">
        <is>
          <t>Neatitiktis (procesas)</t>
        </is>
      </c>
      <c r="E5" s="107" t="inlineStr">
        <is>
          <t>Ne</t>
        </is>
      </c>
      <c r="F5" s="106" t="inlineStr">
        <is>
          <t>Telefonas</t>
        </is>
      </c>
      <c r="G5" s="106" t="inlineStr">
        <is>
          <t>Sistema nedavė patvirtinimo el.</t>
        </is>
      </c>
      <c r="H5" s="106" t="inlineStr">
        <is>
          <t>Onboarding</t>
        </is>
      </c>
      <c r="I5" s="106" t="inlineStr">
        <is>
          <t>IT integracija neveikia</t>
        </is>
      </c>
      <c r="J5" s="106" t="inlineStr">
        <is>
          <t>Ne</t>
        </is>
      </c>
      <c r="K5" s="106" t="inlineStr">
        <is>
          <t>Proceso klaida</t>
        </is>
      </c>
      <c r="L5" s="102" t="inlineStr">
        <is>
          <t>🟡 Vidutinis</t>
        </is>
      </c>
      <c r="M5" s="106" t="inlineStr">
        <is>
          <t>1) Informuoti IT komandą
2) Rankinis patvirtinimas klientui išsiųstas</t>
        </is>
      </c>
      <c r="N5" s="108" t="inlineStr">
        <is>
          <t>KOREKCINIS VEIKSMAS: IT komanda ištaiso API integraciją — automatinis patvirtinimo el. laiško siuntimas. Testas prod. aplinkoje prieš paleidimą. Monitoringas 30 d.</t>
        </is>
      </c>
      <c r="O5" s="109" t="inlineStr">
        <is>
          <t>2025-07-05</t>
        </is>
      </c>
      <c r="P5" s="106" t="inlineStr">
        <is>
          <t>IT atsakingas</t>
        </is>
      </c>
      <c r="Q5" s="106" t="inlineStr">
        <is>
          <t>2025-06-27</t>
        </is>
      </c>
      <c r="R5" s="102" t="inlineStr">
        <is>
          <t>Vykdoma</t>
        </is>
      </c>
      <c r="S5" s="106" t="n"/>
      <c r="T5" s="103">
        <f>IF(R5="Uždarytas",IF(S5=""," —",IF(S5&lt;=Q5,"✅","❌")),IF(TODAY()&gt;Q5,"❌","⏳"))</f>
        <v/>
      </c>
      <c r="U5" s="106" t="n"/>
    </row>
    <row r="6" ht="60" customHeight="1" s="90">
      <c r="A6" s="110" t="n">
        <v>6</v>
      </c>
      <c r="B6" s="111" t="n">
        <v>45833</v>
      </c>
      <c r="C6" s="110" t="n"/>
      <c r="D6" s="112" t="inlineStr">
        <is>
          <t>Atsiliepimas</t>
        </is>
      </c>
      <c r="E6" s="113" t="inlineStr">
        <is>
          <t>Taip</t>
        </is>
      </c>
      <c r="F6" s="112" t="inlineStr">
        <is>
          <t>Pokalbių langas</t>
        </is>
      </c>
      <c r="G6" s="112" t="inlineStr">
        <is>
          <t>Puikus aptarnavimas, greitas atsakymas</t>
        </is>
      </c>
      <c r="H6" s="112" t="inlineStr">
        <is>
          <t>Aptarnavimas</t>
        </is>
      </c>
      <c r="I6" s="112" t="inlineStr">
        <is>
          <t>—</t>
        </is>
      </c>
      <c r="J6" s="112" t="inlineStr">
        <is>
          <t>Ne</t>
        </is>
      </c>
      <c r="K6" s="112" t="inlineStr">
        <is>
          <t>Teigiamas poveikis</t>
        </is>
      </c>
      <c r="L6" s="114" t="inlineStr">
        <is>
          <t>🟢 Žemas</t>
        </is>
      </c>
      <c r="M6" s="112" t="inlineStr">
        <is>
          <t>Pasidalinti komandos susirinkime</t>
        </is>
      </c>
      <c r="N6" s="115" t="inlineStr">
        <is>
          <t>—</t>
        </is>
      </c>
      <c r="O6" s="115" t="inlineStr">
        <is>
          <t>—</t>
        </is>
      </c>
      <c r="P6" s="112" t="inlineStr">
        <is>
          <t>Vadovas</t>
        </is>
      </c>
      <c r="Q6" s="112" t="inlineStr">
        <is>
          <t>2025-06-25</t>
        </is>
      </c>
      <c r="R6" s="114" t="inlineStr">
        <is>
          <t>Uždarytas</t>
        </is>
      </c>
      <c r="S6" s="112" t="inlineStr">
        <is>
          <t>2025-06-25</t>
        </is>
      </c>
      <c r="T6" s="103">
        <f>IF(R6="Uždarytas",IF(S6=""," —",IF(S6&lt;=Q6,"✅","❌")),IF(TODAY()&gt;Q6,"❌","⏳"))</f>
        <v/>
      </c>
      <c r="U6" s="112" t="inlineStr">
        <is>
          <t>Perduota komandai</t>
        </is>
      </c>
    </row>
    <row r="7" ht="60" customHeight="1" s="90">
      <c r="A7" s="116" t="n">
        <v>7</v>
      </c>
      <c r="B7" s="117" t="n">
        <v>45833</v>
      </c>
      <c r="C7" s="116" t="n"/>
      <c r="D7" s="118" t="inlineStr">
        <is>
          <t>Skundas nepagrįstas</t>
        </is>
      </c>
      <c r="E7" s="119" t="inlineStr">
        <is>
          <t>Taip</t>
        </is>
      </c>
      <c r="F7" s="118" t="inlineStr">
        <is>
          <t>Socialiniai tinklai</t>
        </is>
      </c>
      <c r="G7" s="118" t="inlineStr">
        <is>
          <t>Klientas reikalauja grąžinimo po 60 d. (sutartyje 30 d.)</t>
        </is>
      </c>
      <c r="H7" s="118" t="inlineStr">
        <is>
          <t>Sutartis</t>
        </is>
      </c>
      <c r="I7" s="118" t="inlineStr">
        <is>
          <t>Kliento nesusipratimas</t>
        </is>
      </c>
      <c r="J7" s="118" t="inlineStr">
        <is>
          <t>Ne</t>
        </is>
      </c>
      <c r="K7" s="118" t="inlineStr">
        <is>
          <t>Reputacijos rizika</t>
        </is>
      </c>
      <c r="L7" s="102" t="inlineStr">
        <is>
          <t>🟡 Vidutinis</t>
        </is>
      </c>
      <c r="M7" s="118" t="inlineStr">
        <is>
          <t>1) Atsakyti viešai per 2h
2) Paaiškinti sutarties sąlygas
3) Pasiūlyti konsultaciją</t>
        </is>
      </c>
      <c r="N7" s="120" t="inlineStr">
        <is>
          <t>—</t>
        </is>
      </c>
      <c r="O7" s="120" t="inlineStr">
        <is>
          <t>—</t>
        </is>
      </c>
      <c r="P7" s="118" t="inlineStr">
        <is>
          <t>Komandos vadovas</t>
        </is>
      </c>
      <c r="Q7" s="118" t="inlineStr">
        <is>
          <t>2025-06-25</t>
        </is>
      </c>
      <c r="R7" s="114" t="inlineStr">
        <is>
          <t>Uždarytas</t>
        </is>
      </c>
      <c r="S7" s="118" t="inlineStr">
        <is>
          <t>2025-06-25</t>
        </is>
      </c>
      <c r="T7" s="103">
        <f>IF(R7="Uždarytas",IF(S7=""," —",IF(S7&lt;=Q7,"✅","❌")),IF(TODAY()&gt;Q7,"❌","⏳"))</f>
        <v/>
      </c>
      <c r="U7" s="118" t="n"/>
    </row>
    <row r="8" ht="60" customHeight="1" s="90">
      <c r="A8" s="121" t="n">
        <v>8</v>
      </c>
      <c r="B8" s="122" t="n">
        <v>45833</v>
      </c>
      <c r="C8" s="121" t="n"/>
      <c r="D8" s="123" t="inlineStr">
        <is>
          <t>Pasiūlymas</t>
        </is>
      </c>
      <c r="E8" s="124" t="inlineStr">
        <is>
          <t>Taip</t>
        </is>
      </c>
      <c r="F8" s="123" t="inlineStr">
        <is>
          <t>El. paštas</t>
        </is>
      </c>
      <c r="G8" s="123" t="inlineStr">
        <is>
          <t>Prašo pridėti savitarnos portalą</t>
        </is>
      </c>
      <c r="H8" s="123" t="inlineStr">
        <is>
          <t>Skaitmeniniai kanalai</t>
        </is>
      </c>
      <c r="I8" s="123" t="inlineStr">
        <is>
          <t>Funkcijos trūkumas</t>
        </is>
      </c>
      <c r="J8" s="123" t="inlineStr">
        <is>
          <t>Taip – 2x</t>
        </is>
      </c>
      <c r="K8" s="123" t="inlineStr">
        <is>
          <t>Vidinis</t>
        </is>
      </c>
      <c r="L8" s="114" t="inlineStr">
        <is>
          <t>🟢 Žemas</t>
        </is>
      </c>
      <c r="M8" s="123" t="inlineStr">
        <is>
          <t>Perduoti produkto komandai; fiksuoti kaip feature request</t>
        </is>
      </c>
      <c r="N8" s="125" t="inlineStr">
        <is>
          <t>—</t>
        </is>
      </c>
      <c r="O8" s="125" t="inlineStr">
        <is>
          <t>—</t>
        </is>
      </c>
      <c r="P8" s="123" t="inlineStr">
        <is>
          <t>Produkto vadovas</t>
        </is>
      </c>
      <c r="Q8" s="123" t="inlineStr">
        <is>
          <t>2025-07-10</t>
        </is>
      </c>
      <c r="R8" s="100" t="inlineStr">
        <is>
          <t>Atviras</t>
        </is>
      </c>
      <c r="S8" s="123" t="n"/>
      <c r="T8" s="103">
        <f>IF(R8="Uždarytas",IF(S8=""," —",IF(S8&lt;=Q8,"✅","❌")),IF(TODAY()&gt;Q8,"❌","⏳"))</f>
        <v/>
      </c>
      <c r="U8" s="123" t="n"/>
    </row>
    <row r="9">
      <c r="T9" s="103">
        <f>IF(R9="Uždarytas",IF(S9=""," —",IF(S9&lt;=Q9,"✅","❌")),IF(TODAY()&gt;Q9,"❌","⏳"))</f>
        <v/>
      </c>
    </row>
    <row r="10">
      <c r="T10" s="103">
        <f>IF(R10="Uždarytas",IF(S10=""," —",IF(S10&lt;=Q10,"✅","❌")),IF(TODAY()&gt;Q10,"❌","⏳"))</f>
        <v/>
      </c>
    </row>
    <row r="11">
      <c r="T11" s="103">
        <f>IF(R11="Uždarytas",IF(S11=""," —",IF(S11&lt;=Q11,"✅","❌")),IF(TODAY()&gt;Q11,"❌","⏳"))</f>
        <v/>
      </c>
    </row>
    <row r="12">
      <c r="T12" s="103">
        <f>IF(R12="Uždarytas",IF(S12=""," —",IF(S12&lt;=Q12,"✅","❌")),IF(TODAY()&gt;Q12,"❌","⏳"))</f>
        <v/>
      </c>
    </row>
    <row r="13">
      <c r="T13" s="103">
        <f>IF(R13="Uždarytas",IF(S13=""," —",IF(S13&lt;=Q13,"✅","❌")),IF(TODAY()&gt;Q13,"❌","⏳"))</f>
        <v/>
      </c>
    </row>
    <row r="14">
      <c r="T14" s="103">
        <f>IF(R14="Uždarytas",IF(S14=""," —",IF(S14&lt;=Q14,"✅","❌")),IF(TODAY()&gt;Q14,"❌","⏳"))</f>
        <v/>
      </c>
    </row>
    <row r="15">
      <c r="T15" s="103">
        <f>IF(R15="Uždarytas",IF(S15=""," —",IF(S15&lt;=Q15,"✅","❌")),IF(TODAY()&gt;Q15,"❌","⏳"))</f>
        <v/>
      </c>
    </row>
    <row r="16">
      <c r="T16" s="103">
        <f>IF(R16="Uždarytas",IF(S16=""," —",IF(S16&lt;=Q16,"✅","❌")),IF(TODAY()&gt;Q16,"❌","⏳"))</f>
        <v/>
      </c>
    </row>
    <row r="17">
      <c r="T17" s="103">
        <f>IF(R17="Uždarytas",IF(S17=""," —",IF(S17&lt;=Q17,"✅","❌")),IF(TODAY()&gt;Q17,"❌","⏳"))</f>
        <v/>
      </c>
    </row>
    <row r="18">
      <c r="T18" s="103">
        <f>IF(R18="Uždarytas",IF(S18=""," —",IF(S18&lt;=Q18,"✅","❌")),IF(TODAY()&gt;Q18,"❌","⏳"))</f>
        <v/>
      </c>
    </row>
    <row r="19">
      <c r="T19" s="103">
        <f>IF(R19="Uždarytas",IF(S19=""," —",IF(S19&lt;=Q19,"✅","❌")),IF(TODAY()&gt;Q19,"❌","⏳"))</f>
        <v/>
      </c>
    </row>
    <row r="20">
      <c r="T20" s="103">
        <f>IF(R20="Uždarytas",IF(S20=""," —",IF(S20&lt;=Q20,"✅","❌")),IF(TODAY()&gt;Q20,"❌","⏳"))</f>
        <v/>
      </c>
    </row>
    <row r="21">
      <c r="T21" s="103">
        <f>IF(R21="Uždarytas",IF(S21=""," —",IF(S21&lt;=Q21,"✅","❌")),IF(TODAY()&gt;Q21,"❌","⏳"))</f>
        <v/>
      </c>
    </row>
    <row r="22">
      <c r="T22" s="103">
        <f>IF(R22="Uždarytas",IF(S22=""," —",IF(S22&lt;=Q22,"✅","❌")),IF(TODAY()&gt;Q22,"❌","⏳"))</f>
        <v/>
      </c>
    </row>
    <row r="23">
      <c r="T23" s="103">
        <f>IF(R23="Uždarytas",IF(S23=""," —",IF(S23&lt;=Q23,"✅","❌")),IF(TODAY()&gt;Q23,"❌","⏳"))</f>
        <v/>
      </c>
    </row>
    <row r="24">
      <c r="T24" s="103">
        <f>IF(R24="Uždarytas",IF(S24=""," —",IF(S24&lt;=Q24,"✅","❌")),IF(TODAY()&gt;Q24,"❌","⏳"))</f>
        <v/>
      </c>
    </row>
    <row r="25">
      <c r="T25" s="103">
        <f>IF(R25="Uždarytas",IF(S25=""," —",IF(S25&lt;=Q25,"✅","❌")),IF(TODAY()&gt;Q25,"❌","⏳"))</f>
        <v/>
      </c>
    </row>
    <row r="26">
      <c r="T26" s="103">
        <f>IF(R26="Uždarytas",IF(S26=""," —",IF(S26&lt;=Q26,"✅","❌")),IF(TODAY()&gt;Q26,"❌","⏳"))</f>
        <v/>
      </c>
    </row>
    <row r="27">
      <c r="T27" s="103">
        <f>IF(R27="Uždarytas",IF(S27=""," —",IF(S27&lt;=Q27,"✅","❌")),IF(TODAY()&gt;Q27,"❌","⏳"))</f>
        <v/>
      </c>
    </row>
    <row r="28">
      <c r="T28" s="103">
        <f>IF(R28="Uždarytas",IF(S28=""," —",IF(S28&lt;=Q28,"✅","❌")),IF(TODAY()&gt;Q28,"❌","⏳"))</f>
        <v/>
      </c>
    </row>
    <row r="29">
      <c r="T29" s="103">
        <f>IF(R29="Uždarytas",IF(S29=""," —",IF(S29&lt;=Q29,"✅","❌")),IF(TODAY()&gt;Q29,"❌","⏳"))</f>
        <v/>
      </c>
    </row>
    <row r="30">
      <c r="T30" s="103">
        <f>IF(R30="Uždarytas",IF(S30=""," —",IF(S30&lt;=Q30,"✅","❌")),IF(TODAY()&gt;Q30,"❌","⏳"))</f>
        <v/>
      </c>
    </row>
    <row r="31">
      <c r="T31" s="103">
        <f>IF(R31="Uždarytas",IF(S31=""," —",IF(S31&lt;=Q31,"✅","❌")),IF(TODAY()&gt;Q31,"❌","⏳"))</f>
        <v/>
      </c>
    </row>
    <row r="32">
      <c r="T32" s="103">
        <f>IF(R32="Uždarytas",IF(S32=""," —",IF(S32&lt;=Q32,"✅","❌")),IF(TODAY()&gt;Q32,"❌","⏳"))</f>
        <v/>
      </c>
    </row>
    <row r="33">
      <c r="T33" s="103">
        <f>IF(R33="Uždarytas",IF(S33=""," —",IF(S33&lt;=Q33,"✅","❌")),IF(TODAY()&gt;Q33,"❌","⏳"))</f>
        <v/>
      </c>
    </row>
    <row r="34">
      <c r="T34" s="103">
        <f>IF(R34="Uždarytas",IF(S34=""," —",IF(S34&lt;=Q34,"✅","❌")),IF(TODAY()&gt;Q34,"❌","⏳"))</f>
        <v/>
      </c>
    </row>
    <row r="35">
      <c r="T35" s="103">
        <f>IF(R35="Uždarytas",IF(S35=""," —",IF(S35&lt;=Q35,"✅","❌")),IF(TODAY()&gt;Q35,"❌","⏳"))</f>
        <v/>
      </c>
    </row>
    <row r="36">
      <c r="T36" s="103">
        <f>IF(R36="Uždarytas",IF(S36=""," —",IF(S36&lt;=Q36,"✅","❌")),IF(TODAY()&gt;Q36,"❌","⏳"))</f>
        <v/>
      </c>
    </row>
    <row r="37">
      <c r="T37" s="103">
        <f>IF(R37="Uždarytas",IF(S37=""," —",IF(S37&lt;=Q37,"✅","❌")),IF(TODAY()&gt;Q37,"❌","⏳"))</f>
        <v/>
      </c>
    </row>
    <row r="38">
      <c r="T38" s="103">
        <f>IF(R38="Uždarytas",IF(S38=""," —",IF(S38&lt;=Q38,"✅","❌")),IF(TODAY()&gt;Q38,"❌","⏳"))</f>
        <v/>
      </c>
    </row>
    <row r="39">
      <c r="T39" s="103">
        <f>IF(R39="Uždarytas",IF(S39=""," —",IF(S39&lt;=Q39,"✅","❌")),IF(TODAY()&gt;Q39,"❌","⏳"))</f>
        <v/>
      </c>
    </row>
    <row r="40">
      <c r="T40" s="103">
        <f>IF(R40="Uždarytas",IF(S40=""," —",IF(S40&lt;=Q40,"✅","❌")),IF(TODAY()&gt;Q40,"❌","⏳"))</f>
        <v/>
      </c>
    </row>
    <row r="41">
      <c r="T41" s="103">
        <f>IF(R41="Uždarytas",IF(S41=""," —",IF(S41&lt;=Q41,"✅","❌")),IF(TODAY()&gt;Q41,"❌","⏳"))</f>
        <v/>
      </c>
    </row>
    <row r="42">
      <c r="T42" s="103">
        <f>IF(R42="Uždarytas",IF(S42=""," —",IF(S42&lt;=Q42,"✅","❌")),IF(TODAY()&gt;Q42,"❌","⏳"))</f>
        <v/>
      </c>
    </row>
    <row r="43">
      <c r="T43" s="103">
        <f>IF(R43="Uždarytas",IF(S43=""," —",IF(S43&lt;=Q43,"✅","❌")),IF(TODAY()&gt;Q43,"❌","⏳"))</f>
        <v/>
      </c>
    </row>
    <row r="44">
      <c r="T44" s="103">
        <f>IF(R44="Uždarytas",IF(S44=""," —",IF(S44&lt;=Q44,"✅","❌")),IF(TODAY()&gt;Q44,"❌","⏳"))</f>
        <v/>
      </c>
    </row>
    <row r="45">
      <c r="T45" s="103">
        <f>IF(R45="Uždarytas",IF(S45=""," —",IF(S45&lt;=Q45,"✅","❌")),IF(TODAY()&gt;Q45,"❌","⏳"))</f>
        <v/>
      </c>
    </row>
    <row r="46">
      <c r="T46" s="103">
        <f>IF(R46="Uždarytas",IF(S46=""," —",IF(S46&lt;=Q46,"✅","❌")),IF(TODAY()&gt;Q46,"❌","⏳"))</f>
        <v/>
      </c>
    </row>
    <row r="47">
      <c r="T47" s="103">
        <f>IF(R47="Uždarytas",IF(S47=""," —",IF(S47&lt;=Q47,"✅","❌")),IF(TODAY()&gt;Q47,"❌","⏳"))</f>
        <v/>
      </c>
    </row>
    <row r="48">
      <c r="T48" s="103">
        <f>IF(R48="Uždarytas",IF(S48=""," —",IF(S48&lt;=Q48,"✅","❌")),IF(TODAY()&gt;Q48,"❌","⏳"))</f>
        <v/>
      </c>
    </row>
    <row r="49">
      <c r="T49" s="103">
        <f>IF(R49="Uždarytas",IF(S49=""," —",IF(S49&lt;=Q49,"✅","❌")),IF(TODAY()&gt;Q49,"❌","⏳"))</f>
        <v/>
      </c>
    </row>
    <row r="50">
      <c r="T50" s="103">
        <f>IF(R50="Uždarytas",IF(S50=""," —",IF(S50&lt;=Q50,"✅","❌")),IF(TODAY()&gt;Q50,"❌","⏳"))</f>
        <v/>
      </c>
    </row>
    <row r="51">
      <c r="T51" s="103">
        <f>IF(R51="Uždarytas",IF(S51=""," —",IF(S51&lt;=Q51,"✅","❌")),IF(TODAY()&gt;Q51,"❌","⏳"))</f>
        <v/>
      </c>
    </row>
    <row r="52">
      <c r="T52" s="103">
        <f>IF(R52="Uždarytas",IF(S52=""," —",IF(S52&lt;=Q52,"✅","❌")),IF(TODAY()&gt;Q52,"❌","⏳"))</f>
        <v/>
      </c>
    </row>
    <row r="53">
      <c r="T53" s="103">
        <f>IF(R53="Uždarytas",IF(S53=""," —",IF(S53&lt;=Q53,"✅","❌")),IF(TODAY()&gt;Q53,"❌","⏳"))</f>
        <v/>
      </c>
    </row>
    <row r="54">
      <c r="T54" s="103">
        <f>IF(R54="Uždarytas",IF(S54=""," —",IF(S54&lt;=Q54,"✅","❌")),IF(TODAY()&gt;Q54,"❌","⏳"))</f>
        <v/>
      </c>
    </row>
    <row r="55">
      <c r="T55" s="103">
        <f>IF(R55="Uždarytas",IF(S55=""," —",IF(S55&lt;=Q55,"✅","❌")),IF(TODAY()&gt;Q55,"❌","⏳"))</f>
        <v/>
      </c>
    </row>
    <row r="56">
      <c r="T56" s="103">
        <f>IF(R56="Uždarytas",IF(S56=""," —",IF(S56&lt;=Q56,"✅","❌")),IF(TODAY()&gt;Q56,"❌","⏳"))</f>
        <v/>
      </c>
    </row>
    <row r="57">
      <c r="T57" s="103">
        <f>IF(R57="Uždarytas",IF(S57=""," —",IF(S57&lt;=Q57,"✅","❌")),IF(TODAY()&gt;Q57,"❌","⏳"))</f>
        <v/>
      </c>
    </row>
    <row r="58">
      <c r="T58" s="103">
        <f>IF(R58="Uždarytas",IF(S58=""," —",IF(S58&lt;=Q58,"✅","❌")),IF(TODAY()&gt;Q58,"❌","⏳"))</f>
        <v/>
      </c>
    </row>
    <row r="59">
      <c r="T59" s="103">
        <f>IF(R59="Uždarytas",IF(S59=""," —",IF(S59&lt;=Q59,"✅","❌")),IF(TODAY()&gt;Q59,"❌","⏳"))</f>
        <v/>
      </c>
    </row>
    <row r="60">
      <c r="T60" s="103">
        <f>IF(R60="Uždarytas",IF(S60=""," —",IF(S60&lt;=Q60,"✅","❌")),IF(TODAY()&gt;Q60,"❌","⏳"))</f>
        <v/>
      </c>
    </row>
    <row r="61">
      <c r="T61" s="103">
        <f>IF(R61="Uždarytas",IF(S61=""," —",IF(S61&lt;=Q61,"✅","❌")),IF(TODAY()&gt;Q61,"❌","⏳"))</f>
        <v/>
      </c>
    </row>
    <row r="62">
      <c r="T62" s="103">
        <f>IF(R62="Uždarytas",IF(S62=""," —",IF(S62&lt;=Q62,"✅","❌")),IF(TODAY()&gt;Q62,"❌","⏳"))</f>
        <v/>
      </c>
    </row>
    <row r="63">
      <c r="T63" s="103">
        <f>IF(R63="Uždarytas",IF(S63=""," —",IF(S63&lt;=Q63,"✅","❌")),IF(TODAY()&gt;Q63,"❌","⏳"))</f>
        <v/>
      </c>
    </row>
    <row r="64">
      <c r="T64" s="103">
        <f>IF(R64="Uždarytas",IF(S64=""," —",IF(S64&lt;=Q64,"✅","❌")),IF(TODAY()&gt;Q64,"❌","⏳"))</f>
        <v/>
      </c>
    </row>
    <row r="65">
      <c r="T65" s="103">
        <f>IF(R65="Uždarytas",IF(S65=""," —",IF(S65&lt;=Q65,"✅","❌")),IF(TODAY()&gt;Q65,"❌","⏳"))</f>
        <v/>
      </c>
    </row>
    <row r="66">
      <c r="T66" s="103">
        <f>IF(R66="Uždarytas",IF(S66=""," —",IF(S66&lt;=Q66,"✅","❌")),IF(TODAY()&gt;Q66,"❌","⏳"))</f>
        <v/>
      </c>
    </row>
    <row r="67">
      <c r="T67" s="103">
        <f>IF(R67="Uždarytas",IF(S67=""," —",IF(S67&lt;=Q67,"✅","❌")),IF(TODAY()&gt;Q67,"❌","⏳"))</f>
        <v/>
      </c>
    </row>
    <row r="68">
      <c r="T68" s="103">
        <f>IF(R68="Uždarytas",IF(S68=""," —",IF(S68&lt;=Q68,"✅","❌")),IF(TODAY()&gt;Q68,"❌","⏳"))</f>
        <v/>
      </c>
    </row>
    <row r="69">
      <c r="T69" s="103">
        <f>IF(R69="Uždarytas",IF(S69=""," —",IF(S69&lt;=Q69,"✅","❌")),IF(TODAY()&gt;Q69,"❌","⏳"))</f>
        <v/>
      </c>
    </row>
    <row r="70">
      <c r="T70" s="103">
        <f>IF(R70="Uždarytas",IF(S70=""," —",IF(S70&lt;=Q70,"✅","❌")),IF(TODAY()&gt;Q70,"❌","⏳"))</f>
        <v/>
      </c>
    </row>
    <row r="71">
      <c r="T71" s="103">
        <f>IF(R71="Uždarytas",IF(S71=""," —",IF(S71&lt;=Q71,"✅","❌")),IF(TODAY()&gt;Q71,"❌","⏳"))</f>
        <v/>
      </c>
    </row>
    <row r="72">
      <c r="T72" s="103">
        <f>IF(R72="Uždarytas",IF(S72=""," —",IF(S72&lt;=Q72,"✅","❌")),IF(TODAY()&gt;Q72,"❌","⏳"))</f>
        <v/>
      </c>
    </row>
    <row r="73">
      <c r="T73" s="103">
        <f>IF(R73="Uždarytas",IF(S73=""," —",IF(S73&lt;=Q73,"✅","❌")),IF(TODAY()&gt;Q73,"❌","⏳"))</f>
        <v/>
      </c>
    </row>
    <row r="74">
      <c r="T74" s="103">
        <f>IF(R74="Uždarytas",IF(S74=""," —",IF(S74&lt;=Q74,"✅","❌")),IF(TODAY()&gt;Q74,"❌","⏳"))</f>
        <v/>
      </c>
    </row>
    <row r="75">
      <c r="T75" s="103">
        <f>IF(R75="Uždarytas",IF(S75=""," —",IF(S75&lt;=Q75,"✅","❌")),IF(TODAY()&gt;Q75,"❌","⏳"))</f>
        <v/>
      </c>
    </row>
    <row r="76">
      <c r="T76" s="103">
        <f>IF(R76="Uždarytas",IF(S76=""," —",IF(S76&lt;=Q76,"✅","❌")),IF(TODAY()&gt;Q76,"❌","⏳"))</f>
        <v/>
      </c>
    </row>
    <row r="77">
      <c r="T77" s="103">
        <f>IF(R77="Uždarytas",IF(S77=""," —",IF(S77&lt;=Q77,"✅","❌")),IF(TODAY()&gt;Q77,"❌","⏳"))</f>
        <v/>
      </c>
    </row>
    <row r="78">
      <c r="T78" s="103">
        <f>IF(R78="Uždarytas",IF(S78=""," —",IF(S78&lt;=Q78,"✅","❌")),IF(TODAY()&gt;Q78,"❌","⏳"))</f>
        <v/>
      </c>
    </row>
    <row r="79">
      <c r="T79" s="103">
        <f>IF(R79="Uždarytas",IF(S79=""," —",IF(S79&lt;=Q79,"✅","❌")),IF(TODAY()&gt;Q79,"❌","⏳"))</f>
        <v/>
      </c>
    </row>
    <row r="80">
      <c r="T80" s="103">
        <f>IF(R80="Uždarytas",IF(S80=""," —",IF(S80&lt;=Q80,"✅","❌")),IF(TODAY()&gt;Q80,"❌","⏳"))</f>
        <v/>
      </c>
    </row>
    <row r="81">
      <c r="T81" s="103">
        <f>IF(R81="Uždarytas",IF(S81=""," —",IF(S81&lt;=Q81,"✅","❌")),IF(TODAY()&gt;Q81,"❌","⏳"))</f>
        <v/>
      </c>
    </row>
    <row r="82">
      <c r="T82" s="103">
        <f>IF(R82="Uždarytas",IF(S82=""," —",IF(S82&lt;=Q82,"✅","❌")),IF(TODAY()&gt;Q82,"❌","⏳"))</f>
        <v/>
      </c>
    </row>
    <row r="83">
      <c r="T83" s="103">
        <f>IF(R83="Uždarytas",IF(S83=""," —",IF(S83&lt;=Q83,"✅","❌")),IF(TODAY()&gt;Q83,"❌","⏳"))</f>
        <v/>
      </c>
    </row>
    <row r="84">
      <c r="T84" s="103">
        <f>IF(R84="Uždarytas",IF(S84=""," —",IF(S84&lt;=Q84,"✅","❌")),IF(TODAY()&gt;Q84,"❌","⏳"))</f>
        <v/>
      </c>
    </row>
    <row r="85">
      <c r="T85" s="103">
        <f>IF(R85="Uždarytas",IF(S85=""," —",IF(S85&lt;=Q85,"✅","❌")),IF(TODAY()&gt;Q85,"❌","⏳"))</f>
        <v/>
      </c>
    </row>
    <row r="86">
      <c r="T86" s="103">
        <f>IF(R86="Uždarytas",IF(S86=""," —",IF(S86&lt;=Q86,"✅","❌")),IF(TODAY()&gt;Q86,"❌","⏳"))</f>
        <v/>
      </c>
    </row>
    <row r="87">
      <c r="T87" s="103">
        <f>IF(R87="Uždarytas",IF(S87=""," —",IF(S87&lt;=Q87,"✅","❌")),IF(TODAY()&gt;Q87,"❌","⏳"))</f>
        <v/>
      </c>
    </row>
    <row r="88">
      <c r="T88" s="103">
        <f>IF(R88="Uždarytas",IF(S88=""," —",IF(S88&lt;=Q88,"✅","❌")),IF(TODAY()&gt;Q88,"❌","⏳"))</f>
        <v/>
      </c>
    </row>
    <row r="89">
      <c r="T89" s="103">
        <f>IF(R89="Uždarytas",IF(S89=""," —",IF(S89&lt;=Q89,"✅","❌")),IF(TODAY()&gt;Q89,"❌","⏳"))</f>
        <v/>
      </c>
    </row>
    <row r="90">
      <c r="T90" s="103">
        <f>IF(R90="Uždarytas",IF(S90=""," —",IF(S90&lt;=Q90,"✅","❌")),IF(TODAY()&gt;Q90,"❌","⏳"))</f>
        <v/>
      </c>
    </row>
    <row r="91">
      <c r="T91" s="103">
        <f>IF(R91="Uždarytas",IF(S91=""," —",IF(S91&lt;=Q91,"✅","❌")),IF(TODAY()&gt;Q91,"❌","⏳"))</f>
        <v/>
      </c>
    </row>
    <row r="92">
      <c r="T92" s="103">
        <f>IF(R92="Uždarytas",IF(S92=""," —",IF(S92&lt;=Q92,"✅","❌")),IF(TODAY()&gt;Q92,"❌","⏳"))</f>
        <v/>
      </c>
    </row>
    <row r="93">
      <c r="T93" s="103">
        <f>IF(R93="Uždarytas",IF(S93=""," —",IF(S93&lt;=Q93,"✅","❌")),IF(TODAY()&gt;Q93,"❌","⏳"))</f>
        <v/>
      </c>
    </row>
    <row r="94">
      <c r="T94" s="103">
        <f>IF(R94="Uždarytas",IF(S94=""," —",IF(S94&lt;=Q94,"✅","❌")),IF(TODAY()&gt;Q94,"❌","⏳"))</f>
        <v/>
      </c>
    </row>
    <row r="95">
      <c r="T95" s="103">
        <f>IF(R95="Uždarytas",IF(S95=""," —",IF(S95&lt;=Q95,"✅","❌")),IF(TODAY()&gt;Q95,"❌","⏳"))</f>
        <v/>
      </c>
    </row>
    <row r="96">
      <c r="T96" s="103">
        <f>IF(R96="Uždarytas",IF(S96=""," —",IF(S96&lt;=Q96,"✅","❌")),IF(TODAY()&gt;Q96,"❌","⏳"))</f>
        <v/>
      </c>
    </row>
    <row r="97">
      <c r="T97" s="103">
        <f>IF(R97="Uždarytas",IF(S97=""," —",IF(S97&lt;=Q97,"✅","❌")),IF(TODAY()&gt;Q97,"❌","⏳"))</f>
        <v/>
      </c>
    </row>
    <row r="98">
      <c r="T98" s="103">
        <f>IF(R98="Uždarytas",IF(S98=""," —",IF(S98&lt;=Q98,"✅","❌")),IF(TODAY()&gt;Q98,"❌","⏳"))</f>
        <v/>
      </c>
    </row>
    <row r="99">
      <c r="T99" s="103">
        <f>IF(R99="Uždarytas",IF(S99=""," —",IF(S99&lt;=Q99,"✅","❌")),IF(TODAY()&gt;Q99,"❌","⏳"))</f>
        <v/>
      </c>
    </row>
    <row r="100">
      <c r="T100" s="103">
        <f>IF(R100="Uždarytas",IF(S100=""," —",IF(S100&lt;=Q100,"✅","❌")),IF(TODAY()&gt;Q100,"❌","⏳"))</f>
        <v/>
      </c>
    </row>
    <row r="101">
      <c r="T101" s="103">
        <f>IF(R101="Uždarytas",IF(S101=""," —",IF(S101&lt;=Q101,"✅","❌")),IF(TODAY()&gt;Q101,"❌","⏳"))</f>
        <v/>
      </c>
    </row>
    <row r="102">
      <c r="T102" s="103">
        <f>IF(R102="Uždarytas",IF(S102=""," —",IF(S102&lt;=Q102,"✅","❌")),IF(TODAY()&gt;Q102,"❌","⏳"))</f>
        <v/>
      </c>
    </row>
    <row r="103">
      <c r="T103" s="103">
        <f>IF(R103="Uždarytas",IF(S103=""," —",IF(S103&lt;=Q103,"✅","❌")),IF(TODAY()&gt;Q103,"❌","⏳"))</f>
        <v/>
      </c>
    </row>
    <row r="104">
      <c r="T104" s="103">
        <f>IF(R104="Uždarytas",IF(S104=""," —",IF(S104&lt;=Q104,"✅","❌")),IF(TODAY()&gt;Q104,"❌","⏳"))</f>
        <v/>
      </c>
    </row>
    <row r="105">
      <c r="T105" s="103">
        <f>IF(R105="Uždarytas",IF(S105=""," —",IF(S105&lt;=Q105,"✅","❌")),IF(TODAY()&gt;Q105,"❌","⏳"))</f>
        <v/>
      </c>
    </row>
    <row r="106">
      <c r="T106" s="103">
        <f>IF(R106="Uždarytas",IF(S106=""," —",IF(S106&lt;=Q106,"✅","❌")),IF(TODAY()&gt;Q106,"❌","⏳"))</f>
        <v/>
      </c>
    </row>
    <row r="107">
      <c r="T107" s="103">
        <f>IF(R107="Uždarytas",IF(S107=""," —",IF(S107&lt;=Q107,"✅","❌")),IF(TODAY()&gt;Q107,"❌","⏳"))</f>
        <v/>
      </c>
    </row>
    <row r="108">
      <c r="T108" s="103">
        <f>IF(R108="Uždarytas",IF(S108=""," —",IF(S108&lt;=Q108,"✅","❌")),IF(TODAY()&gt;Q108,"❌","⏳"))</f>
        <v/>
      </c>
    </row>
    <row r="109">
      <c r="T109" s="103">
        <f>IF(R109="Uždarytas",IF(S109=""," —",IF(S109&lt;=Q109,"✅","❌")),IF(TODAY()&gt;Q109,"❌","⏳"))</f>
        <v/>
      </c>
    </row>
    <row r="110">
      <c r="T110" s="103">
        <f>IF(R110="Uždarytas",IF(S110=""," —",IF(S110&lt;=Q110,"✅","❌")),IF(TODAY()&gt;Q110,"❌","⏳"))</f>
        <v/>
      </c>
    </row>
    <row r="111">
      <c r="T111" s="103">
        <f>IF(R111="Uždarytas",IF(S111=""," —",IF(S111&lt;=Q111,"✅","❌")),IF(TODAY()&gt;Q111,"❌","⏳"))</f>
        <v/>
      </c>
    </row>
    <row r="112">
      <c r="T112" s="103">
        <f>IF(R112="Uždarytas",IF(S112=""," —",IF(S112&lt;=Q112,"✅","❌")),IF(TODAY()&gt;Q112,"❌","⏳"))</f>
        <v/>
      </c>
    </row>
    <row r="113">
      <c r="T113" s="103">
        <f>IF(R113="Uždarytas",IF(S113=""," —",IF(S113&lt;=Q113,"✅","❌")),IF(TODAY()&gt;Q113,"❌","⏳"))</f>
        <v/>
      </c>
    </row>
    <row r="114">
      <c r="T114" s="103">
        <f>IF(R114="Uždarytas",IF(S114=""," —",IF(S114&lt;=Q114,"✅","❌")),IF(TODAY()&gt;Q114,"❌","⏳"))</f>
        <v/>
      </c>
    </row>
    <row r="115">
      <c r="T115" s="103">
        <f>IF(R115="Uždarytas",IF(S115=""," —",IF(S115&lt;=Q115,"✅","❌")),IF(TODAY()&gt;Q115,"❌","⏳"))</f>
        <v/>
      </c>
    </row>
    <row r="116">
      <c r="T116" s="103">
        <f>IF(R116="Uždarytas",IF(S116=""," —",IF(S116&lt;=Q116,"✅","❌")),IF(TODAY()&gt;Q116,"❌","⏳"))</f>
        <v/>
      </c>
    </row>
    <row r="117">
      <c r="T117" s="103">
        <f>IF(R117="Uždarytas",IF(S117=""," —",IF(S117&lt;=Q117,"✅","❌")),IF(TODAY()&gt;Q117,"❌","⏳"))</f>
        <v/>
      </c>
    </row>
    <row r="118">
      <c r="T118" s="103">
        <f>IF(R118="Uždarytas",IF(S118=""," —",IF(S118&lt;=Q118,"✅","❌")),IF(TODAY()&gt;Q118,"❌","⏳"))</f>
        <v/>
      </c>
    </row>
    <row r="119">
      <c r="T119" s="103">
        <f>IF(R119="Uždarytas",IF(S119=""," —",IF(S119&lt;=Q119,"✅","❌")),IF(TODAY()&gt;Q119,"❌","⏳"))</f>
        <v/>
      </c>
    </row>
    <row r="120">
      <c r="T120" s="103">
        <f>IF(R120="Uždarytas",IF(S120=""," —",IF(S120&lt;=Q120,"✅","❌")),IF(TODAY()&gt;Q120,"❌","⏳"))</f>
        <v/>
      </c>
    </row>
    <row r="121">
      <c r="T121" s="103">
        <f>IF(R121="Uždarytas",IF(S121=""," —",IF(S121&lt;=Q121,"✅","❌")),IF(TODAY()&gt;Q121,"❌","⏳"))</f>
        <v/>
      </c>
    </row>
    <row r="122">
      <c r="T122" s="103">
        <f>IF(R122="Uždarytas",IF(S122=""," —",IF(S122&lt;=Q122,"✅","❌")),IF(TODAY()&gt;Q122,"❌","⏳"))</f>
        <v/>
      </c>
    </row>
    <row r="123">
      <c r="T123" s="103">
        <f>IF(R123="Uždarytas",IF(S123=""," —",IF(S123&lt;=Q123,"✅","❌")),IF(TODAY()&gt;Q123,"❌","⏳"))</f>
        <v/>
      </c>
    </row>
    <row r="124">
      <c r="T124" s="103">
        <f>IF(R124="Uždarytas",IF(S124=""," —",IF(S124&lt;=Q124,"✅","❌")),IF(TODAY()&gt;Q124,"❌","⏳"))</f>
        <v/>
      </c>
    </row>
    <row r="125">
      <c r="T125" s="103">
        <f>IF(R125="Uždarytas",IF(S125=""," —",IF(S125&lt;=Q125,"✅","❌")),IF(TODAY()&gt;Q125,"❌","⏳"))</f>
        <v/>
      </c>
    </row>
    <row r="126">
      <c r="T126" s="103">
        <f>IF(R126="Uždarytas",IF(S126=""," —",IF(S126&lt;=Q126,"✅","❌")),IF(TODAY()&gt;Q126,"❌","⏳"))</f>
        <v/>
      </c>
    </row>
    <row r="127">
      <c r="T127" s="103">
        <f>IF(R127="Uždarytas",IF(S127=""," —",IF(S127&lt;=Q127,"✅","❌")),IF(TODAY()&gt;Q127,"❌","⏳"))</f>
        <v/>
      </c>
    </row>
    <row r="128">
      <c r="T128" s="103">
        <f>IF(R128="Uždarytas",IF(S128=""," —",IF(S128&lt;=Q128,"✅","❌")),IF(TODAY()&gt;Q128,"❌","⏳"))</f>
        <v/>
      </c>
    </row>
    <row r="129">
      <c r="T129" s="103">
        <f>IF(R129="Uždarytas",IF(S129=""," —",IF(S129&lt;=Q129,"✅","❌")),IF(TODAY()&gt;Q129,"❌","⏳"))</f>
        <v/>
      </c>
    </row>
    <row r="130">
      <c r="T130" s="103">
        <f>IF(R130="Uždarytas",IF(S130=""," —",IF(S130&lt;=Q130,"✅","❌")),IF(TODAY()&gt;Q130,"❌","⏳"))</f>
        <v/>
      </c>
    </row>
    <row r="131">
      <c r="T131" s="103">
        <f>IF(R131="Uždarytas",IF(S131=""," —",IF(S131&lt;=Q131,"✅","❌")),IF(TODAY()&gt;Q131,"❌","⏳"))</f>
        <v/>
      </c>
    </row>
    <row r="132">
      <c r="T132" s="103">
        <f>IF(R132="Uždarytas",IF(S132=""," —",IF(S132&lt;=Q132,"✅","❌")),IF(TODAY()&gt;Q132,"❌","⏳"))</f>
        <v/>
      </c>
    </row>
    <row r="133">
      <c r="T133" s="103">
        <f>IF(R133="Uždarytas",IF(S133=""," —",IF(S133&lt;=Q133,"✅","❌")),IF(TODAY()&gt;Q133,"❌","⏳"))</f>
        <v/>
      </c>
    </row>
    <row r="134">
      <c r="T134" s="103">
        <f>IF(R134="Uždarytas",IF(S134=""," —",IF(S134&lt;=Q134,"✅","❌")),IF(TODAY()&gt;Q134,"❌","⏳"))</f>
        <v/>
      </c>
    </row>
    <row r="135">
      <c r="T135" s="103">
        <f>IF(R135="Uždarytas",IF(S135=""," —",IF(S135&lt;=Q135,"✅","❌")),IF(TODAY()&gt;Q135,"❌","⏳"))</f>
        <v/>
      </c>
    </row>
    <row r="136">
      <c r="T136" s="103">
        <f>IF(R136="Uždarytas",IF(S136=""," —",IF(S136&lt;=Q136,"✅","❌")),IF(TODAY()&gt;Q136,"❌","⏳"))</f>
        <v/>
      </c>
    </row>
    <row r="137">
      <c r="T137" s="103">
        <f>IF(R137="Uždarytas",IF(S137=""," —",IF(S137&lt;=Q137,"✅","❌")),IF(TODAY()&gt;Q137,"❌","⏳"))</f>
        <v/>
      </c>
    </row>
    <row r="138">
      <c r="T138" s="103">
        <f>IF(R138="Uždarytas",IF(S138=""," —",IF(S138&lt;=Q138,"✅","❌")),IF(TODAY()&gt;Q138,"❌","⏳"))</f>
        <v/>
      </c>
    </row>
    <row r="139">
      <c r="T139" s="103">
        <f>IF(R139="Uždarytas",IF(S139=""," —",IF(S139&lt;=Q139,"✅","❌")),IF(TODAY()&gt;Q139,"❌","⏳"))</f>
        <v/>
      </c>
    </row>
    <row r="140">
      <c r="T140" s="103">
        <f>IF(R140="Uždarytas",IF(S140=""," —",IF(S140&lt;=Q140,"✅","❌")),IF(TODAY()&gt;Q140,"❌","⏳"))</f>
        <v/>
      </c>
    </row>
    <row r="141">
      <c r="T141" s="103">
        <f>IF(R141="Uždarytas",IF(S141=""," —",IF(S141&lt;=Q141,"✅","❌")),IF(TODAY()&gt;Q141,"❌","⏳"))</f>
        <v/>
      </c>
    </row>
    <row r="142">
      <c r="T142" s="103">
        <f>IF(R142="Uždarytas",IF(S142=""," —",IF(S142&lt;=Q142,"✅","❌")),IF(TODAY()&gt;Q142,"❌","⏳"))</f>
        <v/>
      </c>
    </row>
    <row r="143">
      <c r="T143" s="103">
        <f>IF(R143="Uždarytas",IF(S143=""," —",IF(S143&lt;=Q143,"✅","❌")),IF(TODAY()&gt;Q143,"❌","⏳"))</f>
        <v/>
      </c>
    </row>
    <row r="144">
      <c r="T144" s="103">
        <f>IF(R144="Uždarytas",IF(S144=""," —",IF(S144&lt;=Q144,"✅","❌")),IF(TODAY()&gt;Q144,"❌","⏳"))</f>
        <v/>
      </c>
    </row>
    <row r="145">
      <c r="T145" s="103">
        <f>IF(R145="Uždarytas",IF(S145=""," —",IF(S145&lt;=Q145,"✅","❌")),IF(TODAY()&gt;Q145,"❌","⏳"))</f>
        <v/>
      </c>
    </row>
    <row r="146">
      <c r="T146" s="103">
        <f>IF(R146="Uždarytas",IF(S146=""," —",IF(S146&lt;=Q146,"✅","❌")),IF(TODAY()&gt;Q146,"❌","⏳"))</f>
        <v/>
      </c>
    </row>
    <row r="147">
      <c r="T147" s="103">
        <f>IF(R147="Uždarytas",IF(S147=""," —",IF(S147&lt;=Q147,"✅","❌")),IF(TODAY()&gt;Q147,"❌","⏳"))</f>
        <v/>
      </c>
    </row>
    <row r="148">
      <c r="T148" s="103">
        <f>IF(R148="Uždarytas",IF(S148=""," —",IF(S148&lt;=Q148,"✅","❌")),IF(TODAY()&gt;Q148,"❌","⏳"))</f>
        <v/>
      </c>
    </row>
    <row r="149">
      <c r="T149" s="103">
        <f>IF(R149="Uždarytas",IF(S149=""," —",IF(S149&lt;=Q149,"✅","❌")),IF(TODAY()&gt;Q149,"❌","⏳"))</f>
        <v/>
      </c>
    </row>
    <row r="150">
      <c r="T150" s="103">
        <f>IF(R150="Uždarytas",IF(S150=""," —",IF(S150&lt;=Q150,"✅","❌")),IF(TODAY()&gt;Q150,"❌","⏳"))</f>
        <v/>
      </c>
    </row>
    <row r="151">
      <c r="T151" s="103">
        <f>IF(R151="Uždarytas",IF(S151=""," —",IF(S151&lt;=Q151,"✅","❌")),IF(TODAY()&gt;Q151,"❌","⏳"))</f>
        <v/>
      </c>
    </row>
    <row r="152">
      <c r="T152" s="103">
        <f>IF(R152="Uždarytas",IF(S152=""," —",IF(S152&lt;=Q152,"✅","❌")),IF(TODAY()&gt;Q152,"❌","⏳"))</f>
        <v/>
      </c>
    </row>
    <row r="153">
      <c r="T153" s="103">
        <f>IF(R153="Uždarytas",IF(S153=""," —",IF(S153&lt;=Q153,"✅","❌")),IF(TODAY()&gt;Q153,"❌","⏳"))</f>
        <v/>
      </c>
    </row>
    <row r="154">
      <c r="T154" s="103">
        <f>IF(R154="Uždarytas",IF(S154=""," —",IF(S154&lt;=Q154,"✅","❌")),IF(TODAY()&gt;Q154,"❌","⏳"))</f>
        <v/>
      </c>
    </row>
    <row r="155">
      <c r="T155" s="103">
        <f>IF(R155="Uždarytas",IF(S155=""," —",IF(S155&lt;=Q155,"✅","❌")),IF(TODAY()&gt;Q155,"❌","⏳"))</f>
        <v/>
      </c>
    </row>
    <row r="156">
      <c r="T156" s="103">
        <f>IF(R156="Uždarytas",IF(S156=""," —",IF(S156&lt;=Q156,"✅","❌")),IF(TODAY()&gt;Q156,"❌","⏳"))</f>
        <v/>
      </c>
    </row>
    <row r="157">
      <c r="T157" s="103">
        <f>IF(R157="Uždarytas",IF(S157=""," —",IF(S157&lt;=Q157,"✅","❌")),IF(TODAY()&gt;Q157,"❌","⏳"))</f>
        <v/>
      </c>
    </row>
    <row r="158">
      <c r="T158" s="103">
        <f>IF(R158="Uždarytas",IF(S158=""," —",IF(S158&lt;=Q158,"✅","❌")),IF(TODAY()&gt;Q158,"❌","⏳"))</f>
        <v/>
      </c>
    </row>
    <row r="159">
      <c r="T159" s="103">
        <f>IF(R159="Uždarytas",IF(S159=""," —",IF(S159&lt;=Q159,"✅","❌")),IF(TODAY()&gt;Q159,"❌","⏳"))</f>
        <v/>
      </c>
    </row>
    <row r="160">
      <c r="T160" s="103">
        <f>IF(R160="Uždarytas",IF(S160=""," —",IF(S160&lt;=Q160,"✅","❌")),IF(TODAY()&gt;Q160,"❌","⏳"))</f>
        <v/>
      </c>
    </row>
    <row r="161">
      <c r="T161" s="103">
        <f>IF(R161="Uždarytas",IF(S161=""," —",IF(S161&lt;=Q161,"✅","❌")),IF(TODAY()&gt;Q161,"❌","⏳"))</f>
        <v/>
      </c>
    </row>
    <row r="162">
      <c r="T162" s="103">
        <f>IF(R162="Uždarytas",IF(S162=""," —",IF(S162&lt;=Q162,"✅","❌")),IF(TODAY()&gt;Q162,"❌","⏳"))</f>
        <v/>
      </c>
    </row>
    <row r="163">
      <c r="T163" s="103">
        <f>IF(R163="Uždarytas",IF(S163=""," —",IF(S163&lt;=Q163,"✅","❌")),IF(TODAY()&gt;Q163,"❌","⏳"))</f>
        <v/>
      </c>
    </row>
    <row r="164">
      <c r="T164" s="103">
        <f>IF(R164="Uždarytas",IF(S164=""," —",IF(S164&lt;=Q164,"✅","❌")),IF(TODAY()&gt;Q164,"❌","⏳"))</f>
        <v/>
      </c>
    </row>
    <row r="165">
      <c r="T165" s="103">
        <f>IF(R165="Uždarytas",IF(S165=""," —",IF(S165&lt;=Q165,"✅","❌")),IF(TODAY()&gt;Q165,"❌","⏳"))</f>
        <v/>
      </c>
    </row>
    <row r="166">
      <c r="T166" s="103">
        <f>IF(R166="Uždarytas",IF(S166=""," —",IF(S166&lt;=Q166,"✅","❌")),IF(TODAY()&gt;Q166,"❌","⏳"))</f>
        <v/>
      </c>
    </row>
    <row r="167">
      <c r="T167" s="103">
        <f>IF(R167="Uždarytas",IF(S167=""," —",IF(S167&lt;=Q167,"✅","❌")),IF(TODAY()&gt;Q167,"❌","⏳"))</f>
        <v/>
      </c>
    </row>
    <row r="168">
      <c r="T168" s="103">
        <f>IF(R168="Uždarytas",IF(S168=""," —",IF(S168&lt;=Q168,"✅","❌")),IF(TODAY()&gt;Q168,"❌","⏳"))</f>
        <v/>
      </c>
    </row>
    <row r="169">
      <c r="T169" s="103">
        <f>IF(R169="Uždarytas",IF(S169=""," —",IF(S169&lt;=Q169,"✅","❌")),IF(TODAY()&gt;Q169,"❌","⏳"))</f>
        <v/>
      </c>
    </row>
    <row r="170">
      <c r="T170" s="103">
        <f>IF(R170="Uždarytas",IF(S170=""," —",IF(S170&lt;=Q170,"✅","❌")),IF(TODAY()&gt;Q170,"❌","⏳"))</f>
        <v/>
      </c>
    </row>
    <row r="171">
      <c r="T171" s="103">
        <f>IF(R171="Uždarytas",IF(S171=""," —",IF(S171&lt;=Q171,"✅","❌")),IF(TODAY()&gt;Q171,"❌","⏳"))</f>
        <v/>
      </c>
    </row>
    <row r="172">
      <c r="T172" s="103">
        <f>IF(R172="Uždarytas",IF(S172=""," —",IF(S172&lt;=Q172,"✅","❌")),IF(TODAY()&gt;Q172,"❌","⏳"))</f>
        <v/>
      </c>
    </row>
    <row r="173">
      <c r="T173" s="103">
        <f>IF(R173="Uždarytas",IF(S173=""," —",IF(S173&lt;=Q173,"✅","❌")),IF(TODAY()&gt;Q173,"❌","⏳"))</f>
        <v/>
      </c>
    </row>
    <row r="174">
      <c r="T174" s="103">
        <f>IF(R174="Uždarytas",IF(S174=""," —",IF(S174&lt;=Q174,"✅","❌")),IF(TODAY()&gt;Q174,"❌","⏳"))</f>
        <v/>
      </c>
    </row>
    <row r="175">
      <c r="T175" s="103">
        <f>IF(R175="Uždarytas",IF(S175=""," —",IF(S175&lt;=Q175,"✅","❌")),IF(TODAY()&gt;Q175,"❌","⏳"))</f>
        <v/>
      </c>
    </row>
    <row r="176">
      <c r="T176" s="103">
        <f>IF(R176="Uždarytas",IF(S176=""," —",IF(S176&lt;=Q176,"✅","❌")),IF(TODAY()&gt;Q176,"❌","⏳"))</f>
        <v/>
      </c>
    </row>
    <row r="177">
      <c r="T177" s="103">
        <f>IF(R177="Uždarytas",IF(S177=""," —",IF(S177&lt;=Q177,"✅","❌")),IF(TODAY()&gt;Q177,"❌","⏳"))</f>
        <v/>
      </c>
    </row>
    <row r="178">
      <c r="T178" s="103">
        <f>IF(R178="Uždarytas",IF(S178=""," —",IF(S178&lt;=Q178,"✅","❌")),IF(TODAY()&gt;Q178,"❌","⏳"))</f>
        <v/>
      </c>
    </row>
    <row r="179">
      <c r="T179" s="103">
        <f>IF(R179="Uždarytas",IF(S179=""," —",IF(S179&lt;=Q179,"✅","❌")),IF(TODAY()&gt;Q179,"❌","⏳"))</f>
        <v/>
      </c>
    </row>
    <row r="180">
      <c r="T180" s="103">
        <f>IF(R180="Uždarytas",IF(S180=""," —",IF(S180&lt;=Q180,"✅","❌")),IF(TODAY()&gt;Q180,"❌","⏳"))</f>
        <v/>
      </c>
    </row>
    <row r="181">
      <c r="T181" s="103">
        <f>IF(R181="Uždarytas",IF(S181=""," —",IF(S181&lt;=Q181,"✅","❌")),IF(TODAY()&gt;Q181,"❌","⏳"))</f>
        <v/>
      </c>
    </row>
    <row r="182">
      <c r="T182" s="103">
        <f>IF(R182="Uždarytas",IF(S182=""," —",IF(S182&lt;=Q182,"✅","❌")),IF(TODAY()&gt;Q182,"❌","⏳"))</f>
        <v/>
      </c>
    </row>
    <row r="183">
      <c r="T183" s="103">
        <f>IF(R183="Uždarytas",IF(S183=""," —",IF(S183&lt;=Q183,"✅","❌")),IF(TODAY()&gt;Q183,"❌","⏳"))</f>
        <v/>
      </c>
    </row>
    <row r="184">
      <c r="T184" s="103">
        <f>IF(R184="Uždarytas",IF(S184=""," —",IF(S184&lt;=Q184,"✅","❌")),IF(TODAY()&gt;Q184,"❌","⏳"))</f>
        <v/>
      </c>
    </row>
    <row r="185">
      <c r="T185" s="103">
        <f>IF(R185="Uždarytas",IF(S185=""," —",IF(S185&lt;=Q185,"✅","❌")),IF(TODAY()&gt;Q185,"❌","⏳"))</f>
        <v/>
      </c>
    </row>
    <row r="186">
      <c r="T186" s="103">
        <f>IF(R186="Uždarytas",IF(S186=""," —",IF(S186&lt;=Q186,"✅","❌")),IF(TODAY()&gt;Q186,"❌","⏳"))</f>
        <v/>
      </c>
    </row>
    <row r="187">
      <c r="T187" s="103">
        <f>IF(R187="Uždarytas",IF(S187=""," —",IF(S187&lt;=Q187,"✅","❌")),IF(TODAY()&gt;Q187,"❌","⏳"))</f>
        <v/>
      </c>
    </row>
    <row r="188">
      <c r="T188" s="103">
        <f>IF(R188="Uždarytas",IF(S188=""," —",IF(S188&lt;=Q188,"✅","❌")),IF(TODAY()&gt;Q188,"❌","⏳"))</f>
        <v/>
      </c>
    </row>
    <row r="189">
      <c r="T189" s="103">
        <f>IF(R189="Uždarytas",IF(S189=""," —",IF(S189&lt;=Q189,"✅","❌")),IF(TODAY()&gt;Q189,"❌","⏳"))</f>
        <v/>
      </c>
    </row>
    <row r="190">
      <c r="T190" s="103">
        <f>IF(R190="Uždarytas",IF(S190=""," —",IF(S190&lt;=Q190,"✅","❌")),IF(TODAY()&gt;Q190,"❌","⏳"))</f>
        <v/>
      </c>
    </row>
    <row r="191">
      <c r="T191" s="103">
        <f>IF(R191="Uždarytas",IF(S191=""," —",IF(S191&lt;=Q191,"✅","❌")),IF(TODAY()&gt;Q191,"❌","⏳"))</f>
        <v/>
      </c>
    </row>
    <row r="192">
      <c r="T192" s="103">
        <f>IF(R192="Uždarytas",IF(S192=""," —",IF(S192&lt;=Q192,"✅","❌")),IF(TODAY()&gt;Q192,"❌","⏳"))</f>
        <v/>
      </c>
    </row>
    <row r="193">
      <c r="T193" s="103">
        <f>IF(R193="Uždarytas",IF(S193=""," —",IF(S193&lt;=Q193,"✅","❌")),IF(TODAY()&gt;Q193,"❌","⏳"))</f>
        <v/>
      </c>
    </row>
    <row r="194">
      <c r="T194" s="103">
        <f>IF(R194="Uždarytas",IF(S194=""," —",IF(S194&lt;=Q194,"✅","❌")),IF(TODAY()&gt;Q194,"❌","⏳"))</f>
        <v/>
      </c>
    </row>
    <row r="195">
      <c r="T195" s="103">
        <f>IF(R195="Uždarytas",IF(S195=""," —",IF(S195&lt;=Q195,"✅","❌")),IF(TODAY()&gt;Q195,"❌","⏳"))</f>
        <v/>
      </c>
    </row>
    <row r="196">
      <c r="T196" s="103">
        <f>IF(R196="Uždarytas",IF(S196=""," —",IF(S196&lt;=Q196,"✅","❌")),IF(TODAY()&gt;Q196,"❌","⏳"))</f>
        <v/>
      </c>
    </row>
    <row r="197">
      <c r="T197" s="103">
        <f>IF(R197="Uždarytas",IF(S197=""," —",IF(S197&lt;=Q197,"✅","❌")),IF(TODAY()&gt;Q197,"❌","⏳"))</f>
        <v/>
      </c>
    </row>
    <row r="198">
      <c r="T198" s="103">
        <f>IF(R198="Uždarytas",IF(S198=""," —",IF(S198&lt;=Q198,"✅","❌")),IF(TODAY()&gt;Q198,"❌","⏳"))</f>
        <v/>
      </c>
    </row>
    <row r="199">
      <c r="T199" s="103">
        <f>IF(R199="Uždarytas",IF(S199=""," —",IF(S199&lt;=Q199,"✅","❌")),IF(TODAY()&gt;Q199,"❌","⏳"))</f>
        <v/>
      </c>
    </row>
    <row r="200">
      <c r="T200" s="103">
        <f>IF(R200="Uždarytas",IF(S200=""," —",IF(S200&lt;=Q200,"✅","❌")),IF(TODAY()&gt;Q200,"❌","⏳"))</f>
        <v/>
      </c>
    </row>
  </sheetData>
  <mergeCells count="2">
    <mergeCell ref="A1:T1"/>
    <mergeCell ref="A2:T2"/>
  </mergeCells>
  <conditionalFormatting sqref="E4:E200">
    <cfRule type="cellIs" rank="0" priority="2" equalAverage="0" operator="equal" aboveAverage="0" dxfId="0" text="" percent="0" bottom="0">
      <formula>"Taip"</formula>
    </cfRule>
    <cfRule type="cellIs" rank="0" priority="3" equalAverage="0" operator="equal" aboveAverage="0" dxfId="1" text="" percent="0" bottom="0">
      <formula>"Ne"</formula>
    </cfRule>
    <cfRule type="cellIs" rank="0" priority="4" equalAverage="0" operator="equal" aboveAverage="0" dxfId="2" text="" percent="0" bottom="0">
      <formula>"Iš dalies"</formula>
    </cfRule>
  </conditionalFormatting>
  <conditionalFormatting sqref="T4:T200">
    <cfRule type="expression" priority="4" dxfId="3">
      <formula>T4="✅"</formula>
    </cfRule>
    <cfRule type="expression" priority="5" dxfId="4">
      <formula>T4="❌"</formula>
    </cfRule>
    <cfRule type="expression" priority="6" dxfId="5">
      <formula>T4="⏳"</formula>
    </cfRule>
  </conditionalFormatting>
  <dataValidations count="9">
    <dataValidation sqref="D4:D200" showDropDown="0" showInputMessage="0" showErrorMessage="0" allowBlank="1" type="list" errorStyle="stop" operator="between">
      <formula1>"Skundas pagrįstas,Skundas nepagrįstas,Atsiliepimas,Neatitiktis (procesas),Pasiūlymas"</formula1>
      <formula2>0</formula2>
    </dataValidation>
    <dataValidation sqref="F4:F200" showDropDown="0" showInputMessage="0" showErrorMessage="0" allowBlank="1" type="list" errorStyle="stop" operator="between">
      <formula1>"El. paštas,Telefonas,Pokalbių langas,Socialiniai tinklai,Asmeniškai,Kita"</formula1>
      <formula2>0</formula2>
    </dataValidation>
    <dataValidation sqref="L4:L200" showDropDown="0" showInputMessage="0" showErrorMessage="0" allowBlank="1" type="list" errorStyle="stop" operator="between">
      <formula1>"🔴 Aukštas,🟡 Vidutinis,🟢 Žemas"</formula1>
      <formula2>0</formula2>
    </dataValidation>
    <dataValidation sqref="P4:P200" showDropDown="0" showInputMessage="0" showErrorMessage="0" allowBlank="1" type="list" errorStyle="stop" operator="between">
      <formula1>"Atviras,Vykdoma,Uždarytas,Atidėtas"</formula1>
      <formula2>0</formula2>
    </dataValidation>
    <dataValidation sqref="J4:J200" showDropDown="0" showInputMessage="0" showErrorMessage="0" allowBlank="1" type="list" errorStyle="stop" operator="between">
      <formula1>"Taip,Ne"</formula1>
      <formula2>0</formula2>
    </dataValidation>
    <dataValidation sqref="E4:E200" showDropDown="0" showInputMessage="0" showErrorMessage="0" allowBlank="0" type="list" errorStyle="stop" operator="between">
      <formula1>"Taip,Ne,Iš dalies"</formula1>
      <formula2>0</formula2>
    </dataValidation>
    <dataValidation sqref="K4:K200" showDropDown="0" showInputMessage="0" showErrorMessage="0" allowBlank="0" type="list" errorStyle="stop" operator="between">
      <formula1>"Kliento praradimas,Reputacija,Proceso klaida,Finansinis nuostolis,Vidinis,Teigiamas"</formula1>
      <formula2>0</formula2>
    </dataValidation>
    <dataValidation sqref="C4:C200" showDropDown="0" showInputMessage="0" showErrorMessage="0" allowBlank="1" type="list">
      <formula1>"Spec. 1,Spec. 2,Spec. 3,Spec. 4,Spec. 5,Vadovas"</formula1>
    </dataValidation>
    <dataValidation sqref="K4:K200" showDropDown="0" showInputMessage="0" showErrorMessage="0" allowBlank="1" type="list">
      <formula1>"Kliento praradimas,Finansinis nuostolis,Reputacijos rizika,Proceso klaida,Teigiamas poveikis,Vidinis"</formula1>
    </dataValidation>
  </dataValidations>
  <printOptions horizontalCentered="0" verticalCentered="0" headings="0" gridLines="0" gridLinesSet="1"/>
  <pageMargins left="0.75" right="0.75" top="1" bottom="1" header="0.511811023622047" footer="0.511811023622047"/>
  <pageSetup orientation="portrait" paperSize="9" scale="100" fitToHeight="1" fitToWidth="1" pageOrder="downThenOver" blackAndWhite="0" draft="0" horizontalDpi="300" verticalDpi="300" copies="1"/>
</worksheet>
</file>

<file path=xl/worksheets/sheet2.xml><?xml version="1.0" encoding="utf-8"?>
<worksheet xmlns="http://schemas.openxmlformats.org/spreadsheetml/2006/main">
  <sheetPr filterMode="0">
    <outlinePr summaryBelow="1" summaryRight="1"/>
    <pageSetUpPr fitToPage="0"/>
  </sheetPr>
  <dimension ref="A1:L35"/>
  <sheetViews>
    <sheetView showFormulas="0" showGridLines="0" showRowColHeaders="1" showZeros="1" rightToLeft="0" tabSelected="0" showOutlineSymbols="1" defaultGridColor="1" view="normal" topLeftCell="A1" colorId="64" zoomScale="100" zoomScaleNormal="100" zoomScalePageLayoutView="100" workbookViewId="0">
      <selection pane="topLeft" activeCell="A1" activeCellId="0" sqref="A1"/>
    </sheetView>
  </sheetViews>
  <sheetFormatPr baseColWidth="8" defaultColWidth="8.6796875" defaultRowHeight="15" zeroHeight="0" outlineLevelRow="0"/>
  <cols>
    <col width="3" customWidth="1" style="89" min="1" max="1"/>
    <col width="32" customWidth="1" style="89" min="2" max="3"/>
    <col width="14" customWidth="1" style="89" min="4" max="10"/>
  </cols>
  <sheetData>
    <row r="1" ht="27.75" customHeight="1" s="90">
      <c r="A1" s="89" t="n"/>
    </row>
    <row r="2" ht="19.5" customHeight="1" s="90">
      <c r="A2" s="89" t="n"/>
    </row>
    <row r="4" ht="18" customHeight="1" s="90">
      <c r="B4" s="126" t="inlineStr">
        <is>
          <t>⚙️  DATOS FILTRAS</t>
        </is>
      </c>
    </row>
    <row r="5" ht="19.5" customHeight="1" s="90">
      <c r="B5" s="127" t="inlineStr">
        <is>
          <t>Filtruoti nuo:</t>
        </is>
      </c>
      <c r="C5" s="128" t="n"/>
      <c r="D5" s="129" t="inlineStr">
        <is>
          <t>← Palikite tuščią = visi įrašai</t>
        </is>
      </c>
    </row>
    <row r="6" ht="19.5" customHeight="1" s="90">
      <c r="B6" s="127" t="inlineStr">
        <is>
          <t>Filtruoti iki:</t>
        </is>
      </c>
      <c r="C6" s="128" t="n"/>
      <c r="D6" s="129" t="inlineStr">
        <is>
          <t>← Palikite tuščią = visi įrašai</t>
        </is>
      </c>
    </row>
    <row r="8" ht="21.75" customHeight="1" s="90">
      <c r="B8" s="130" t="inlineStr">
        <is>
          <t>PAGRINDINIAI RODIKLIAI</t>
        </is>
      </c>
    </row>
    <row r="9" ht="30" customHeight="1" s="90">
      <c r="B9" s="131" t="n"/>
      <c r="C9" s="131" t="inlineStr">
        <is>
          <t>Iš viso įrašų</t>
        </is>
      </c>
      <c r="D9" s="131" t="inlineStr">
        <is>
          <t>Skundai
pagrįsti</t>
        </is>
      </c>
      <c r="E9" s="131" t="inlineStr">
        <is>
          <t>Skundai
nepagrįsti</t>
        </is>
      </c>
      <c r="F9" s="131" t="inlineStr">
        <is>
          <t>Neatitiktys</t>
        </is>
      </c>
      <c r="G9" s="131" t="inlineStr">
        <is>
          <t>Atsiliepimai</t>
        </is>
      </c>
      <c r="H9" s="131" t="inlineStr">
        <is>
          <t>Pasiūlymai</t>
        </is>
      </c>
      <c r="I9" s="131" t="inlineStr">
        <is>
          <t>Atvirų
(neišsp.)</t>
        </is>
      </c>
      <c r="J9" s="131" t="inlineStr">
        <is>
          <t>🔴 Aukšto
priorit.</t>
        </is>
      </c>
      <c r="K9" s="131" t="inlineStr">
        <is>
          <t>Pasikar-
tojančių</t>
        </is>
      </c>
    </row>
    <row r="10" ht="31.5" customHeight="1" s="90">
      <c r="C10" s="132">
        <f>COUNTIFS('📋 Registras'!A4:A200,"&lt;&gt;",'📋 Registras'!B4:B200,"&gt;="&amp;IF($C$5="",DATE(1900,1,1),$C$5),'📋 Registras'!B4:B200,"&lt;="&amp;IF($C$6="",DATE(9999,1,1),$C$6))</f>
        <v/>
      </c>
      <c r="D10" s="132">
        <f>COUNTIFS('📋 Registras'!D4:D200,"Skundas pagrįstas",'📋 Registras'!B4:B200,"&gt;="&amp;IF($C$5="",DATE(1900,1,1),$C$5),'📋 Registras'!B4:B200,"&lt;="&amp;IF($C$6="",DATE(9999,1,1),$C$6))</f>
        <v/>
      </c>
      <c r="E10" s="132">
        <f>COUNTIFS('📋 Registras'!D4:D200,"Skundas nepagrįstas",'📋 Registras'!B4:B200,"&gt;="&amp;IF($C$5="",DATE(1900,1,1),$C$5),'📋 Registras'!B4:B200,"&lt;="&amp;IF($C$6="",DATE(9999,1,1),$C$6))</f>
        <v/>
      </c>
      <c r="F10" s="132">
        <f>COUNTIFS('📋 Registras'!D4:D200,"Neatitiktis (procesas)",'📋 Registras'!B4:B200,"&gt;="&amp;IF($C$5="",DATE(1900,1,1),$C$5),'📋 Registras'!B4:B200,"&lt;="&amp;IF($C$6="",DATE(9999,1,1),$C$6))</f>
        <v/>
      </c>
      <c r="G10" s="132">
        <f>COUNTIFS('📋 Registras'!D4:D200,"Atsiliepimas",'📋 Registras'!B4:B200,"&gt;="&amp;IF($C$5="",DATE(1900,1,1),$C$5),'📋 Registras'!B4:B200,"&lt;="&amp;IF($C$6="",DATE(9999,1,1),$C$6))</f>
        <v/>
      </c>
      <c r="H10" s="132">
        <f>COUNTIFS('📋 Registras'!D4:D200,"Pasiūlymas",'📋 Registras'!B4:B200,"&gt;="&amp;IF($C$5="",DATE(1900,1,1),$C$5),'📋 Registras'!B4:B200,"&lt;="&amp;IF($C$6="",DATE(9999,1,1),$C$6))</f>
        <v/>
      </c>
      <c r="I10" s="132">
        <f>COUNTIFS('📋 Registras'!R4:R200,"Atviras",'📋 Registras'!B4:B200,"&gt;="&amp;IF($C$5="",DATE(1900,1,1),$C$5),'📋 Registras'!B4:B200,"&lt;="&amp;IF($C$6="",DATE(9999,1,1),$C$6))+COUNTIFS('📋 Registras'!R4:R200,"Vykdoma",'📋 Registras'!B4:B200,"&gt;="&amp;IF($C$5="",DATE(1900,1,1),$C$5),'📋 Registras'!B4:B200,"&lt;="&amp;IF($C$6="",DATE(9999,1,1),$C$6))</f>
        <v/>
      </c>
      <c r="J10" s="132">
        <f>COUNTIFS('📋 Registras'!L4:L200,"🔴 Aukštas",'📋 Registras'!B4:B200,"&gt;="&amp;IF($C$5="",DATE(1900,1,1),$C$5),'📋 Registras'!B4:B200,"&lt;="&amp;IF($C$6="",DATE(9999,1,1),$C$6))</f>
        <v/>
      </c>
      <c r="K10" s="132">
        <f>COUNTIFS('📋 Registras'!J4:J200,"Taip*",'📋 Registras'!B4:B200,"&gt;="&amp;IF($C$5="",DATE(1900,1,1),$C$5),'📋 Registras'!B4:B200,"&lt;="&amp;IF($C$6="",DATE(9999,1,1),$C$6))</f>
        <v/>
      </c>
    </row>
    <row r="11" ht="21.75" customHeight="1" s="90"/>
    <row r="12" ht="21.75" customHeight="1" s="90">
      <c r="B12" s="133" t="inlineStr">
        <is>
          <t>FCR RODIKLIS (First Contact Resolution — Išspręsta pirmo kontakto metu)</t>
        </is>
      </c>
    </row>
    <row r="13" ht="27.75" customHeight="1" s="90">
      <c r="C13" s="134" t="inlineStr">
        <is>
          <t>FCR % (visi)</t>
        </is>
      </c>
      <c r="D13" s="134" t="inlineStr">
        <is>
          <t>FCR % tik
skundai</t>
        </is>
      </c>
      <c r="E13" s="134" t="inlineStr">
        <is>
          <t>Neišspręsta
pirme</t>
        </is>
      </c>
      <c r="F13" s="134" t="inlineStr">
        <is>
          <t>Iš dalies
išspręsta</t>
        </is>
      </c>
    </row>
    <row r="14" ht="31.5" customHeight="1" s="90">
      <c r="C14" s="135">
        <f>IFERROR(COUNTIFS('📋 Registras'!E4:E200,"Taip",'📋 Registras'!B4:B200,"&gt;="&amp;IF($C$5="",DATE(1900,1,1),$C$5),'📋 Registras'!B4:B200,"&lt;="&amp;IF($C$6="",DATE(9999,1,1),$C$6))/C10,0)</f>
        <v/>
      </c>
      <c r="D14" s="135">
        <f>IFERROR(COUNTIFS('📋 Registras'!E4:E200,"Taip",'📋 Registras'!D4:D200,"Skundas pagrįstas",'📋 Registras'!B4:B200,"&gt;="&amp;IF($C$5="",DATE(1900,1,1),$C$5),'📋 Registras'!B4:B200,"&lt;="&amp;IF($C$6="",DATE(9999,1,1),$C$6))/COUNTIFS('📋 Registras'!D4:D200,"Skundas pagrįstas",'📋 Registras'!B4:B200,"&gt;="&amp;IF($C$5="",DATE(1900,1,1),$C$5),'📋 Registras'!B4:B200,"&lt;="&amp;IF($C$6="",DATE(9999,1,1),$C$6)),0)</f>
        <v/>
      </c>
      <c r="E14" s="136">
        <f>COUNTIFS('📋 Registras'!E4:E200,"Ne",'📋 Registras'!B4:B200,"&gt;="&amp;IF($C$5="",DATE(1900,1,1),$C$5),'📋 Registras'!B4:B200,"&lt;="&amp;IF($C$6="",DATE(9999,1,1),$C$6))</f>
        <v/>
      </c>
      <c r="F14" s="137" t="inlineStr">
        <is>
          <t>🎯 Tikslas: FCR &gt; 80%</t>
        </is>
      </c>
      <c r="G14" s="138" t="n"/>
      <c r="H14" s="138" t="n"/>
      <c r="I14" s="138" t="n"/>
      <c r="J14" s="139" t="n"/>
    </row>
    <row r="15" ht="21.75" customHeight="1" s="90"/>
    <row r="16" ht="21.75" customHeight="1" s="90">
      <c r="B16" s="130" t="inlineStr">
        <is>
          <t>KATEGORIJŲ ANALIZĖ (su datos filtru)</t>
        </is>
      </c>
    </row>
    <row r="17" ht="27.75" customHeight="1" s="90">
      <c r="B17" s="131" t="inlineStr">
        <is>
          <t>Kategorija</t>
        </is>
      </c>
      <c r="C17" s="131" t="inlineStr">
        <is>
          <t>Kiekis</t>
        </is>
      </c>
      <c r="D17" s="131" t="inlineStr">
        <is>
          <t>% nuo viso</t>
        </is>
      </c>
      <c r="E17" s="131" t="inlineStr">
        <is>
          <t>Atvirų</t>
        </is>
      </c>
      <c r="F17" s="131" t="inlineStr">
        <is>
          <t>Dažniausias kanalas</t>
        </is>
      </c>
      <c r="G17" s="131" t="inlineStr">
        <is>
          <t>Aukšto prioriteto</t>
        </is>
      </c>
      <c r="H17" s="131" t="inlineStr">
        <is>
          <t>Pasikartojančių</t>
        </is>
      </c>
      <c r="I17" s="131" t="inlineStr">
        <is>
          <t>FCR %</t>
        </is>
      </c>
    </row>
    <row r="18" ht="18" customHeight="1" s="90">
      <c r="B18" s="140" t="inlineStr">
        <is>
          <t>Skundas pagrįstas</t>
        </is>
      </c>
      <c r="C18" s="141">
        <f>COUNTIFS('📋 Registras'!D4:D200,"Skundas pagrįstas",'📋 Registras'!B4:B200,"&gt;="&amp;IF($C$5="",DATE(1900,1,1),$C$5),'📋 Registras'!B4:B200,"&lt;="&amp;IF($C$6="",DATE(9999,1,1),$C$6))</f>
        <v/>
      </c>
      <c r="D18" s="142">
        <f>IFERROR(C18/C23,0)</f>
        <v/>
      </c>
      <c r="E18" s="141">
        <f>COUNTIFS('📋 Registras'!D4:D200,"Skundas pagrįstas",'📋 Registras'!R4:R200,"Atviras",'📋 Registras'!B4:B200,"&gt;="&amp;IF($C$5="",DATE(1900,1,1),$C$5),'📋 Registras'!B4:B200,"&lt;="&amp;IF($C$6="",DATE(9999,1,1),$C$6))+COUNTIFS('📋 Registras'!D4:D200,"Skundas pagrįstas",'📋 Registras'!R4:R200,"Vykdoma",'📋 Registras'!B4:B200,"&gt;="&amp;IF($C$5="",DATE(1900,1,1),$C$5),'📋 Registras'!B4:B200,"&lt;="&amp;IF($C$6="",DATE(9999,1,1),$C$6))</f>
        <v/>
      </c>
      <c r="F18" s="141">
        <f>IFERROR(IF(COUNTIFS('📋 Registras'!D4:D200,"Skundas pagrįstas",'📋 Registras'!F4:F200,"El. paštas")&gt;=MAX(COUNTIFS('📋 Registras'!D4:D200,"Skundas pagrįstas",'📋 Registras'!F4:F200,"Telefonas"),COUNTIFS('📋 Registras'!D4:D200,"Skundas pagrįstas",'📋 Registras'!F4:F200,"Socialiniai tinklai"),COUNTIFS('📋 Registras'!D4:D200,"Skundas pagrįstas",'📋 Registras'!F4:F200,"Pokalbių langas"),COUNTIFS('📋 Registras'!D4:D200,"Skundas pagrįstas",'📋 Registras'!F4:F200,"Tiesiogiai")),"El. paštas",IF(COUNTIFS('📋 Registras'!D4:D200,"Skundas pagrįstas",'📋 Registras'!F4:F200,"Telefonas")&gt;=MAX(COUNTIFS('📋 Registras'!D4:D200,"Skundas pagrįstas",'📋 Registras'!F4:F200,"El. paštas"),COUNTIFS('📋 Registras'!D4:D200,"Skundas pagrįstas",'📋 Registras'!F4:F200,"Socialiniai tinklai"),COUNTIFS('📋 Registras'!D4:D200,"Skundas pagrįstas",'📋 Registras'!F4:F200,"Pokalbių langas"),COUNTIFS('📋 Registras'!D4:D200,"Skundas pagrįstas",'📋 Registras'!F4:F200,"Tiesiogiai")),"Telefonas",IF(COUNTIFS('📋 Registras'!D4:D200,"Skundas pagrįstas",'📋 Registras'!F4:F200,"Socialiniai tinklai")&gt;=MAX(COUNTIFS('📋 Registras'!D4:D200,"Skundas pagrįstas",'📋 Registras'!F4:F200,"El. paštas"),COUNTIFS('📋 Registras'!D4:D200,"Skundas pagrįstas",'📋 Registras'!F4:F200,"Telefonas"),COUNTIFS('📋 Registras'!D4:D200,"Skundas pagrįstas",'📋 Registras'!F4:F200,"Pokalbių langas"),COUNTIFS('📋 Registras'!D4:D200,"Skundas pagrįstas",'📋 Registras'!F4:F200,"Tiesiogiai")),"Socialiniai tinklai",IF(COUNTIFS('📋 Registras'!D4:D200,"Skundas pagrįstas",'📋 Registras'!F4:F200,"Pokalbių langas")&gt;=MAX(COUNTIFS('📋 Registras'!D4:D200,"Skundas pagrįstas",'📋 Registras'!F4:F200,"El. paštas"),COUNTIFS('📋 Registras'!D4:D200,"Skundas pagrįstas",'📋 Registras'!F4:F200,"Telefonas"),COUNTIFS('📋 Registras'!D4:D200,"Skundas pagrįstas",'📋 Registras'!F4:F200,"Socialiniai tinklai"),COUNTIFS('📋 Registras'!D4:D200,"Skundas pagrįstas",'📋 Registras'!F4:F200,"Tiesiogiai")),"Pokalbių langas","Tiesiogiai")))),"—")</f>
        <v/>
      </c>
      <c r="G18" s="141">
        <f>COUNTIFS('📋 Registras'!D4:D200,"Skundas pagrįstas",'📋 Registras'!L4:L200,"🔴 Aukštas",'📋 Registras'!B4:B200,"&gt;="&amp;IF($C$5="",DATE(1900,1,1),$C$5),'📋 Registras'!B4:B200,"&lt;="&amp;IF($C$6="",DATE(9999,1,1),$C$6))</f>
        <v/>
      </c>
      <c r="H18" s="141">
        <f>COUNTIFS('📋 Registras'!D4:D200,"Skundas pagrįstas",'📋 Registras'!J4:J200,"Taip*",'📋 Registras'!B4:B200,"&gt;="&amp;IF($C$5="",DATE(1900,1,1),$C$5),'📋 Registras'!B4:B200,"&lt;="&amp;IF($C$6="",DATE(9999,1,1),$C$6))</f>
        <v/>
      </c>
      <c r="I18" s="142">
        <f>IFERROR(COUNTIFS('📋 Registras'!E4:E200,"Taip",'📋 Registras'!D4:D200,"Skundas pagrįstas",'📋 Registras'!B4:B200,"&gt;="&amp;IF($C$5="",DATE(1900,1,1),$C$5),'📋 Registras'!B4:B200,"&lt;="&amp;IF($C$6="",DATE(9999,1,1),$C$6))/C18,0)</f>
        <v/>
      </c>
      <c r="J18" s="141" t="n"/>
    </row>
    <row r="19" ht="18" customHeight="1" s="90">
      <c r="B19" s="140" t="inlineStr">
        <is>
          <t>Skundas nepagrįstas</t>
        </is>
      </c>
      <c r="C19" s="141">
        <f>COUNTIFS('📋 Registras'!D4:D200,"Skundas nepagrįstas",'📋 Registras'!B4:B200,"&gt;="&amp;IF($C$5="",DATE(1900,1,1),$C$5),'📋 Registras'!B4:B200,"&lt;="&amp;IF($C$6="",DATE(9999,1,1),$C$6))</f>
        <v/>
      </c>
      <c r="D19" s="142">
        <f>IFERROR(C19/C23,0)</f>
        <v/>
      </c>
      <c r="E19" s="141">
        <f>COUNTIFS('📋 Registras'!D4:D200,"Skundas nepagrįstas",'📋 Registras'!R4:R200,"Atviras",'📋 Registras'!B4:B200,"&gt;="&amp;IF($C$5="",DATE(1900,1,1),$C$5),'📋 Registras'!B4:B200,"&lt;="&amp;IF($C$6="",DATE(9999,1,1),$C$6))+COUNTIFS('📋 Registras'!D4:D200,"Skundas nepagrįstas",'📋 Registras'!R4:R200,"Vykdoma",'📋 Registras'!B4:B200,"&gt;="&amp;IF($C$5="",DATE(1900,1,1),$C$5),'📋 Registras'!B4:B200,"&lt;="&amp;IF($C$6="",DATE(9999,1,1),$C$6))</f>
        <v/>
      </c>
      <c r="F19" s="143">
        <f>IFERROR(IF(COUNTIFS('📋 Registras'!D4:D200,"Skundas nepagrįstas",'📋 Registras'!F4:F200,"El. paštas")&gt;=MAX(COUNTIFS('📋 Registras'!D4:D200,"Skundas nepagrįstas",'📋 Registras'!F4:F200,"Telefonas"),COUNTIFS('📋 Registras'!D4:D200,"Skundas nepagrįstas",'📋 Registras'!F4:F200,"Socialiniai tinklai"),COUNTIFS('📋 Registras'!D4:D200,"Skundas nepagrįstas",'📋 Registras'!F4:F200,"Pokalbių langas"),COUNTIFS('📋 Registras'!D4:D200,"Skundas nepagrįstas",'📋 Registras'!F4:F200,"Tiesiogiai")),"El. paštas",IF(COUNTIFS('📋 Registras'!D4:D200,"Skundas nepagrįstas",'📋 Registras'!F4:F200,"Telefonas")&gt;=MAX(COUNTIFS('📋 Registras'!D4:D200,"Skundas nepagrįstas",'📋 Registras'!F4:F200,"El. paštas"),COUNTIFS('📋 Registras'!D4:D200,"Skundas nepagrįstas",'📋 Registras'!F4:F200,"Socialiniai tinklai"),COUNTIFS('📋 Registras'!D4:D200,"Skundas nepagrįstas",'📋 Registras'!F4:F200,"Pokalbių langas"),COUNTIFS('📋 Registras'!D4:D200,"Skundas nepagrįstas",'📋 Registras'!F4:F200,"Tiesiogiai")),"Telefonas",IF(COUNTIFS('📋 Registras'!D4:D200,"Skundas nepagrįstas",'📋 Registras'!F4:F200,"Socialiniai tinklai")&gt;=MAX(COUNTIFS('📋 Registras'!D4:D200,"Skundas nepagrįstas",'📋 Registras'!F4:F200,"El. paštas"),COUNTIFS('📋 Registras'!D4:D200,"Skundas nepagrįstas",'📋 Registras'!F4:F200,"Telefonas"),COUNTIFS('📋 Registras'!D4:D200,"Skundas nepagrįstas",'📋 Registras'!F4:F200,"Pokalbių langas"),COUNTIFS('📋 Registras'!D4:D200,"Skundas nepagrįstas",'📋 Registras'!F4:F200,"Tiesiogiai")),"Socialiniai tinklai",IF(COUNTIFS('📋 Registras'!D4:D200,"Skundas nepagrįstas",'📋 Registras'!F4:F200,"Pokalbių langas")&gt;=MAX(COUNTIFS('📋 Registras'!D4:D200,"Skundas nepagrįstas",'📋 Registras'!F4:F200,"El. paštas"),COUNTIFS('📋 Registras'!D4:D200,"Skundas nepagrįstas",'📋 Registras'!F4:F200,"Telefonas"),COUNTIFS('📋 Registras'!D4:D200,"Skundas nepagrįstas",'📋 Registras'!F4:F200,"Socialiniai tinklai"),COUNTIFS('📋 Registras'!D4:D200,"Skundas nepagrįstas",'📋 Registras'!F4:F200,"Tiesiogiai")),"Pokalbių langas","Tiesiogiai")))),"—")</f>
        <v/>
      </c>
      <c r="G19" s="141">
        <f>COUNTIFS('📋 Registras'!D4:D200,"Skundas nepagrįstas",'📋 Registras'!L4:L200,"🔴 Aukštas",'📋 Registras'!B4:B200,"&gt;="&amp;IF($C$5="",DATE(1900,1,1),$C$5),'📋 Registras'!B4:B200,"&lt;="&amp;IF($C$6="",DATE(9999,1,1),$C$6))</f>
        <v/>
      </c>
      <c r="H19" s="141">
        <f>COUNTIFS('📋 Registras'!D4:D200,"Skundas nepagrįstas",'📋 Registras'!J4:J200,"Taip*",'📋 Registras'!B4:B200,"&gt;="&amp;IF($C$5="",DATE(1900,1,1),$C$5),'📋 Registras'!B4:B200,"&lt;="&amp;IF($C$6="",DATE(9999,1,1),$C$6))</f>
        <v/>
      </c>
      <c r="I19" s="142">
        <f>IFERROR(COUNTIFS('📋 Registras'!E4:E200,"Taip",'📋 Registras'!D4:D200,"Skundas nepagrįstas",'📋 Registras'!B4:B200,"&gt;="&amp;IF($C$5="",DATE(1900,1,1),$C$5),'📋 Registras'!B4:B200,"&lt;="&amp;IF($C$6="",DATE(9999,1,1),$C$6))/C19,0)</f>
        <v/>
      </c>
      <c r="J19" s="141" t="inlineStr">
        <is>
          <t>—</t>
        </is>
      </c>
      <c r="K19" s="141" t="n"/>
    </row>
    <row r="20" ht="18" customHeight="1" s="90">
      <c r="B20" s="144" t="inlineStr">
        <is>
          <t>Neatitiktis (procesas)</t>
        </is>
      </c>
      <c r="C20" s="145">
        <f>COUNTIFS('📋 Registras'!D4:D200,"Neatitiktis (procesas)",'📋 Registras'!B4:B200,"&gt;="&amp;IF($C$5="",DATE(1900,1,1),$C$5),'📋 Registras'!B4:B200,"&lt;="&amp;IF($C$6="",DATE(9999,1,1),$C$6))</f>
        <v/>
      </c>
      <c r="D20" s="146">
        <f>IFERROR(C20/C23,0)</f>
        <v/>
      </c>
      <c r="E20" s="145">
        <f>COUNTIFS('📋 Registras'!D4:D200,"Neatitiktis (procesas)",'📋 Registras'!R4:R200,"Atviras",'📋 Registras'!B4:B200,"&gt;="&amp;IF($C$5="",DATE(1900,1,1),$C$5),'📋 Registras'!B4:B200,"&lt;="&amp;IF($C$6="",DATE(9999,1,1),$C$6))+COUNTIFS('📋 Registras'!D4:D200,"Neatitiktis (procesas)",'📋 Registras'!R4:R200,"Vykdoma",'📋 Registras'!B4:B200,"&gt;="&amp;IF($C$5="",DATE(1900,1,1),$C$5),'📋 Registras'!B4:B200,"&lt;="&amp;IF($C$6="",DATE(9999,1,1),$C$6))</f>
        <v/>
      </c>
      <c r="F20" s="147">
        <f>IFERROR(IF(COUNTIFS('📋 Registras'!D4:D200,"Neatitiktis (procesas)",'📋 Registras'!F4:F200,"El. paštas")&gt;=MAX(COUNTIFS('📋 Registras'!D4:D200,"Neatitiktis (procesas)",'📋 Registras'!F4:F200,"Telefonas"),COUNTIFS('📋 Registras'!D4:D200,"Neatitiktis (procesas)",'📋 Registras'!F4:F200,"Socialiniai tinklai"),COUNTIFS('📋 Registras'!D4:D200,"Neatitiktis (procesas)",'📋 Registras'!F4:F200,"Pokalbių langas"),COUNTIFS('📋 Registras'!D4:D200,"Neatitiktis (procesas)",'📋 Registras'!F4:F200,"Tiesiogiai")),"El. paštas",IF(COUNTIFS('📋 Registras'!D4:D200,"Neatitiktis (procesas)",'📋 Registras'!F4:F200,"Telefonas")&gt;=MAX(COUNTIFS('📋 Registras'!D4:D200,"Neatitiktis (procesas)",'📋 Registras'!F4:F200,"El. paštas"),COUNTIFS('📋 Registras'!D4:D200,"Neatitiktis (procesas)",'📋 Registras'!F4:F200,"Socialiniai tinklai"),COUNTIFS('📋 Registras'!D4:D200,"Neatitiktis (procesas)",'📋 Registras'!F4:F200,"Pokalbių langas"),COUNTIFS('📋 Registras'!D4:D200,"Neatitiktis (procesas)",'📋 Registras'!F4:F200,"Tiesiogiai")),"Telefonas",IF(COUNTIFS('📋 Registras'!D4:D200,"Neatitiktis (procesas)",'📋 Registras'!F4:F200,"Socialiniai tinklai")&gt;=MAX(COUNTIFS('📋 Registras'!D4:D200,"Neatitiktis (procesas)",'📋 Registras'!F4:F200,"El. paštas"),COUNTIFS('📋 Registras'!D4:D200,"Neatitiktis (procesas)",'📋 Registras'!F4:F200,"Telefonas"),COUNTIFS('📋 Registras'!D4:D200,"Neatitiktis (procesas)",'📋 Registras'!F4:F200,"Pokalbių langas"),COUNTIFS('📋 Registras'!D4:D200,"Neatitiktis (procesas)",'📋 Registras'!F4:F200,"Tiesiogiai")),"Socialiniai tinklai",IF(COUNTIFS('📋 Registras'!D4:D200,"Neatitiktis (procesas)",'📋 Registras'!F4:F200,"Pokalbių langas")&gt;=MAX(COUNTIFS('📋 Registras'!D4:D200,"Neatitiktis (procesas)",'📋 Registras'!F4:F200,"El. paštas"),COUNTIFS('📋 Registras'!D4:D200,"Neatitiktis (procesas)",'📋 Registras'!F4:F200,"Telefonas"),COUNTIFS('📋 Registras'!D4:D200,"Neatitiktis (procesas)",'📋 Registras'!F4:F200,"Socialiniai tinklai"),COUNTIFS('📋 Registras'!D4:D200,"Neatitiktis (procesas)",'📋 Registras'!F4:F200,"Tiesiogiai")),"Pokalbių langas","Tiesiogiai")))),"—")</f>
        <v/>
      </c>
      <c r="G20" s="145">
        <f>COUNTIFS('📋 Registras'!D4:D200,"Neatitiktis (procesas)",'📋 Registras'!L4:L200,"🔴 Aukštas",'📋 Registras'!B4:B200,"&gt;="&amp;IF($C$5="",DATE(1900,1,1),$C$5),'📋 Registras'!B4:B200,"&lt;="&amp;IF($C$6="",DATE(9999,1,1),$C$6))</f>
        <v/>
      </c>
      <c r="H20" s="145">
        <f>COUNTIFS('📋 Registras'!D4:D200,"Neatitiktis (procesas)",'📋 Registras'!J4:J200,"Taip*",'📋 Registras'!B4:B200,"&gt;="&amp;IF($C$5="",DATE(1900,1,1),$C$5),'📋 Registras'!B4:B200,"&lt;="&amp;IF($C$6="",DATE(9999,1,1),$C$6))</f>
        <v/>
      </c>
      <c r="I20" s="146">
        <f>IFERROR(COUNTIFS('📋 Registras'!E4:E200,"Taip",'📋 Registras'!D4:D200,"Neatitiktis (procesas)",'📋 Registras'!B4:B200,"&gt;="&amp;IF($C$5="",DATE(1900,1,1),$C$5),'📋 Registras'!B4:B200,"&lt;="&amp;IF($C$6="",DATE(9999,1,1),$C$6))/C20,0)</f>
        <v/>
      </c>
      <c r="J20" s="145" t="inlineStr">
        <is>
          <t>⚠️ Korekcija privaloma</t>
        </is>
      </c>
      <c r="K20" s="145" t="n"/>
    </row>
    <row r="21" ht="18" customHeight="1" s="90">
      <c r="B21" s="140" t="inlineStr">
        <is>
          <t>Atsiliepimas</t>
        </is>
      </c>
      <c r="C21" s="141">
        <f>COUNTIFS('📋 Registras'!D4:D200,"Atsiliepimas",'📋 Registras'!B4:B200,"&gt;="&amp;IF($C$5="",DATE(1900,1,1),$C$5),'📋 Registras'!B4:B200,"&lt;="&amp;IF($C$6="",DATE(9999,1,1),$C$6))</f>
        <v/>
      </c>
      <c r="D21" s="142">
        <f>IFERROR(C21/C23,0)</f>
        <v/>
      </c>
      <c r="E21" s="141">
        <f>COUNTIFS('📋 Registras'!D4:D200,"Atsiliepimas",'📋 Registras'!R4:R200,"Atviras",'📋 Registras'!B4:B200,"&gt;="&amp;IF($C$5="",DATE(1900,1,1),$C$5),'📋 Registras'!B4:B200,"&lt;="&amp;IF($C$6="",DATE(9999,1,1),$C$6))+COUNTIFS('📋 Registras'!D4:D200,"Atsiliepimas",'📋 Registras'!R4:R200,"Vykdoma",'📋 Registras'!B4:B200,"&gt;="&amp;IF($C$5="",DATE(1900,1,1),$C$5),'📋 Registras'!B4:B200,"&lt;="&amp;IF($C$6="",DATE(9999,1,1),$C$6))</f>
        <v/>
      </c>
      <c r="F21" s="143">
        <f>IFERROR(IF(COUNTIFS('📋 Registras'!D4:D200,"Atsiliepimas",'📋 Registras'!F4:F200,"El. paštas")&gt;=MAX(COUNTIFS('📋 Registras'!D4:D200,"Atsiliepimas",'📋 Registras'!F4:F200,"Telefonas"),COUNTIFS('📋 Registras'!D4:D200,"Atsiliepimas",'📋 Registras'!F4:F200,"Socialiniai tinklai"),COUNTIFS('📋 Registras'!D4:D200,"Atsiliepimas",'📋 Registras'!F4:F200,"Pokalbių langas"),COUNTIFS('📋 Registras'!D4:D200,"Atsiliepimas",'📋 Registras'!F4:F200,"Tiesiogiai")),"El. paštas",IF(COUNTIFS('📋 Registras'!D4:D200,"Atsiliepimas",'📋 Registras'!F4:F200,"Telefonas")&gt;=MAX(COUNTIFS('📋 Registras'!D4:D200,"Atsiliepimas",'📋 Registras'!F4:F200,"El. paštas"),COUNTIFS('📋 Registras'!D4:D200,"Atsiliepimas",'📋 Registras'!F4:F200,"Socialiniai tinklai"),COUNTIFS('📋 Registras'!D4:D200,"Atsiliepimas",'📋 Registras'!F4:F200,"Pokalbių langas"),COUNTIFS('📋 Registras'!D4:D200,"Atsiliepimas",'📋 Registras'!F4:F200,"Tiesiogiai")),"Telefonas",IF(COUNTIFS('📋 Registras'!D4:D200,"Atsiliepimas",'📋 Registras'!F4:F200,"Socialiniai tinklai")&gt;=MAX(COUNTIFS('📋 Registras'!D4:D200,"Atsiliepimas",'📋 Registras'!F4:F200,"El. paštas"),COUNTIFS('📋 Registras'!D4:D200,"Atsiliepimas",'📋 Registras'!F4:F200,"Telefonas"),COUNTIFS('📋 Registras'!D4:D200,"Atsiliepimas",'📋 Registras'!F4:F200,"Pokalbių langas"),COUNTIFS('📋 Registras'!D4:D200,"Atsiliepimas",'📋 Registras'!F4:F200,"Tiesiogiai")),"Socialiniai tinklai",IF(COUNTIFS('📋 Registras'!D4:D200,"Atsiliepimas",'📋 Registras'!F4:F200,"Pokalbių langas")&gt;=MAX(COUNTIFS('📋 Registras'!D4:D200,"Atsiliepimas",'📋 Registras'!F4:F200,"El. paštas"),COUNTIFS('📋 Registras'!D4:D200,"Atsiliepimas",'📋 Registras'!F4:F200,"Telefonas"),COUNTIFS('📋 Registras'!D4:D200,"Atsiliepimas",'📋 Registras'!F4:F200,"Socialiniai tinklai"),COUNTIFS('📋 Registras'!D4:D200,"Atsiliepimas",'📋 Registras'!F4:F200,"Tiesiogiai")),"Pokalbių langas","Tiesiogiai")))),"—")</f>
        <v/>
      </c>
      <c r="G21" s="141">
        <f>COUNTIFS('📋 Registras'!D4:D200,"Atsiliepimas",'📋 Registras'!L4:L200,"🔴 Aukštas",'📋 Registras'!B4:B200,"&gt;="&amp;IF($C$5="",DATE(1900,1,1),$C$5),'📋 Registras'!B4:B200,"&lt;="&amp;IF($C$6="",DATE(9999,1,1),$C$6))</f>
        <v/>
      </c>
      <c r="H21" s="141">
        <f>COUNTIFS('📋 Registras'!D4:D200,"Atsiliepimas",'📋 Registras'!J4:J200,"Taip*",'📋 Registras'!B4:B200,"&gt;="&amp;IF($C$5="",DATE(1900,1,1),$C$5),'📋 Registras'!B4:B200,"&lt;="&amp;IF($C$6="",DATE(9999,1,1),$C$6))</f>
        <v/>
      </c>
      <c r="I21" s="142">
        <f>IFERROR(COUNTIFS('📋 Registras'!E4:E200,"Taip",'📋 Registras'!D4:D200,"Atsiliepimas",'📋 Registras'!B4:B200,"&gt;="&amp;IF($C$5="",DATE(1900,1,1),$C$5),'📋 Registras'!B4:B200,"&lt;="&amp;IF($C$6="",DATE(9999,1,1),$C$6))/C21,0)</f>
        <v/>
      </c>
      <c r="J21" s="141" t="inlineStr">
        <is>
          <t>—</t>
        </is>
      </c>
      <c r="K21" s="141" t="n"/>
    </row>
    <row r="22" ht="18" customHeight="1" s="90">
      <c r="B22" s="144" t="inlineStr">
        <is>
          <t>Pasiūlymas</t>
        </is>
      </c>
      <c r="C22" s="145">
        <f>COUNTIFS('📋 Registras'!D4:D200,"Pasiūlymas",'📋 Registras'!B4:B200,"&gt;="&amp;IF($C$5="",DATE(1900,1,1),$C$5),'📋 Registras'!B4:B200,"&lt;="&amp;IF($C$6="",DATE(9999,1,1),$C$6))</f>
        <v/>
      </c>
      <c r="D22" s="146">
        <f>IFERROR(C22/C23,0)</f>
        <v/>
      </c>
      <c r="E22" s="145">
        <f>COUNTIFS('📋 Registras'!D4:D200,"Pasiūlymas",'📋 Registras'!R4:R200,"Atviras",'📋 Registras'!B4:B200,"&gt;="&amp;IF($C$5="",DATE(1900,1,1),$C$5),'📋 Registras'!B4:B200,"&lt;="&amp;IF($C$6="",DATE(9999,1,1),$C$6))+COUNTIFS('📋 Registras'!D4:D200,"Pasiūlymas",'📋 Registras'!R4:R200,"Vykdoma",'📋 Registras'!B4:B200,"&gt;="&amp;IF($C$5="",DATE(1900,1,1),$C$5),'📋 Registras'!B4:B200,"&lt;="&amp;IF($C$6="",DATE(9999,1,1),$C$6))</f>
        <v/>
      </c>
      <c r="F22" s="147">
        <f>IFERROR(IF(COUNTIFS('📋 Registras'!D4:D200,"Pasiūlymas",'📋 Registras'!F4:F200,"El. paštas")&gt;=MAX(COUNTIFS('📋 Registras'!D4:D200,"Pasiūlymas",'📋 Registras'!F4:F200,"Telefonas"),COUNTIFS('📋 Registras'!D4:D200,"Pasiūlymas",'📋 Registras'!F4:F200,"Socialiniai tinklai"),COUNTIFS('📋 Registras'!D4:D200,"Pasiūlymas",'📋 Registras'!F4:F200,"Pokalbių langas"),COUNTIFS('📋 Registras'!D4:D200,"Pasiūlymas",'📋 Registras'!F4:F200,"Tiesiogiai")),"El. paštas",IF(COUNTIFS('📋 Registras'!D4:D200,"Pasiūlymas",'📋 Registras'!F4:F200,"Telefonas")&gt;=MAX(COUNTIFS('📋 Registras'!D4:D200,"Pasiūlymas",'📋 Registras'!F4:F200,"El. paštas"),COUNTIFS('📋 Registras'!D4:D200,"Pasiūlymas",'📋 Registras'!F4:F200,"Socialiniai tinklai"),COUNTIFS('📋 Registras'!D4:D200,"Pasiūlymas",'📋 Registras'!F4:F200,"Pokalbių langas"),COUNTIFS('📋 Registras'!D4:D200,"Pasiūlymas",'📋 Registras'!F4:F200,"Tiesiogiai")),"Telefonas",IF(COUNTIFS('📋 Registras'!D4:D200,"Pasiūlymas",'📋 Registras'!F4:F200,"Socialiniai tinklai")&gt;=MAX(COUNTIFS('📋 Registras'!D4:D200,"Pasiūlymas",'📋 Registras'!F4:F200,"El. paštas"),COUNTIFS('📋 Registras'!D4:D200,"Pasiūlymas",'📋 Registras'!F4:F200,"Telefonas"),COUNTIFS('📋 Registras'!D4:D200,"Pasiūlymas",'📋 Registras'!F4:F200,"Pokalbių langas"),COUNTIFS('📋 Registras'!D4:D200,"Pasiūlymas",'📋 Registras'!F4:F200,"Tiesiogiai")),"Socialiniai tinklai",IF(COUNTIFS('📋 Registras'!D4:D200,"Pasiūlymas",'📋 Registras'!F4:F200,"Pokalbių langas")&gt;=MAX(COUNTIFS('📋 Registras'!D4:D200,"Pasiūlymas",'📋 Registras'!F4:F200,"El. paštas"),COUNTIFS('📋 Registras'!D4:D200,"Pasiūlymas",'📋 Registras'!F4:F200,"Telefonas"),COUNTIFS('📋 Registras'!D4:D200,"Pasiūlymas",'📋 Registras'!F4:F200,"Socialiniai tinklai"),COUNTIFS('📋 Registras'!D4:D200,"Pasiūlymas",'📋 Registras'!F4:F200,"Tiesiogiai")),"Pokalbių langas","Tiesiogiai")))),"—")</f>
        <v/>
      </c>
      <c r="G22" s="145">
        <f>COUNTIFS('📋 Registras'!D4:D200,"Pasiūlymas",'📋 Registras'!L4:L200,"🔴 Aukštas",'📋 Registras'!B4:B200,"&gt;="&amp;IF($C$5="",DATE(1900,1,1),$C$5),'📋 Registras'!B4:B200,"&lt;="&amp;IF($C$6="",DATE(9999,1,1),$C$6))</f>
        <v/>
      </c>
      <c r="H22" s="145">
        <f>COUNTIFS('📋 Registras'!D4:D200,"Pasiūlymas",'📋 Registras'!J4:J200,"Taip*",'📋 Registras'!B4:B200,"&gt;="&amp;IF($C$5="",DATE(1900,1,1),$C$5),'📋 Registras'!B4:B200,"&lt;="&amp;IF($C$6="",DATE(9999,1,1),$C$6))</f>
        <v/>
      </c>
      <c r="I22" s="146">
        <f>IFERROR(COUNTIFS('📋 Registras'!E4:E200,"Taip",'📋 Registras'!D4:D200,"Pasiūlymas",'📋 Registras'!B4:B200,"&gt;="&amp;IF($C$5="",DATE(1900,1,1),$C$5),'📋 Registras'!B4:B200,"&lt;="&amp;IF($C$6="",DATE(9999,1,1),$C$6))/C22,0)</f>
        <v/>
      </c>
      <c r="J22" s="145" t="inlineStr">
        <is>
          <t>—</t>
        </is>
      </c>
      <c r="K22" s="145" t="n"/>
    </row>
    <row r="23" ht="18" customHeight="1" s="90">
      <c r="B23" s="148" t="inlineStr">
        <is>
          <t>Iš viso</t>
        </is>
      </c>
      <c r="C23" s="148">
        <f>COUNTIFS('📋 Registras'!A4:A200,"&lt;&gt;",'📋 Registras'!B4:B200,"&gt;="&amp;IF($C$5="",DATE(1900,1,1),$C$5),'📋 Registras'!B4:B200,"&lt;="&amp;IF($C$6="",DATE(9999,1,1),$C$6))</f>
        <v/>
      </c>
      <c r="D23" s="149">
        <f>1</f>
        <v/>
      </c>
      <c r="E23" s="150" t="n"/>
      <c r="F23" s="150" t="n"/>
      <c r="G23" s="150" t="n"/>
      <c r="H23" s="150" t="n"/>
      <c r="I23" s="150" t="n"/>
    </row>
    <row r="24" ht="21.75" customHeight="1" s="90"/>
    <row r="25" ht="21.75" customHeight="1" s="90">
      <c r="B25" s="130" t="inlineStr">
        <is>
          <t>PASIKARTOJANČIŲ PROBLEMŲ STEBĖSENA (pildoma rankiniu būdu)</t>
        </is>
      </c>
    </row>
    <row r="26" ht="27.75" customHeight="1" s="90">
      <c r="B26" s="131" t="inlineStr">
        <is>
          <t>Problema / Šakninė priežastis</t>
        </is>
      </c>
      <c r="C26" s="131" t="inlineStr">
        <is>
          <t>Pasikartoja
kartų</t>
        </is>
      </c>
      <c r="D26" s="131" t="inlineStr">
        <is>
          <t>Proceso etapas</t>
        </is>
      </c>
      <c r="E26" s="131" t="inlineStr">
        <is>
          <t>Korekcija</t>
        </is>
      </c>
      <c r="F26" s="131" t="inlineStr">
        <is>
          <t>Atsakingas</t>
        </is>
      </c>
      <c r="G26" s="131" t="inlineStr">
        <is>
          <t>Terminas</t>
        </is>
      </c>
      <c r="H26" s="131" t="inlineStr">
        <is>
          <t>Statusas</t>
        </is>
      </c>
    </row>
    <row r="27" ht="18" customHeight="1" s="90">
      <c r="B27" s="151" t="n"/>
      <c r="C27" s="151" t="n"/>
      <c r="D27" s="151" t="n"/>
      <c r="E27" s="151" t="n"/>
      <c r="F27" s="151" t="n"/>
      <c r="G27" s="151" t="n"/>
      <c r="H27" s="151" t="n"/>
      <c r="I27" s="151" t="n"/>
    </row>
    <row r="28" ht="18" customHeight="1" s="90">
      <c r="B28" s="152" t="inlineStr">
        <is>
          <t>VERSLO POVEIKIO ANALIZĖ</t>
        </is>
      </c>
      <c r="C28" s="153" t="n"/>
      <c r="D28" s="153" t="n"/>
      <c r="E28" s="153" t="n"/>
      <c r="F28" s="153" t="n"/>
      <c r="G28" s="153" t="n"/>
      <c r="H28" s="153" t="n"/>
      <c r="I28" s="153" t="n"/>
    </row>
    <row r="29" ht="18" customHeight="1" s="90">
      <c r="B29" s="154" t="inlineStr">
        <is>
          <t>Verslo poveikis</t>
        </is>
      </c>
      <c r="C29" s="154" t="inlineStr">
        <is>
          <t>Kiekis</t>
        </is>
      </c>
      <c r="D29" s="154" t="inlineStr">
        <is>
          <t>% nuo viso</t>
        </is>
      </c>
      <c r="E29" s="151" t="n"/>
      <c r="F29" s="151" t="n"/>
      <c r="G29" s="151" t="n"/>
      <c r="H29" s="151" t="n"/>
      <c r="I29" s="151" t="n"/>
    </row>
    <row r="30" ht="18" customHeight="1" s="90">
      <c r="B30" s="153" t="inlineStr">
        <is>
          <t>Kliento praradimas</t>
        </is>
      </c>
      <c r="C30" s="153">
        <f>COUNTIFS('📋 Registras'!K4:K200,"Kliento praradimas",'📋 Registras'!B4:B200,"&gt;="&amp;IF($C$5="",DATE(1900,1,1),$C$5),'📋 Registras'!B4:B200,"&lt;="&amp;IF($C$6="",DATE(9999,1,1),$C$6))</f>
        <v/>
      </c>
      <c r="D30" s="155">
        <f>IFERROR(C30/C10,0)</f>
        <v/>
      </c>
      <c r="E30" s="153" t="n"/>
      <c r="F30" s="153" t="n"/>
      <c r="G30" s="153" t="n"/>
      <c r="H30" s="153" t="n"/>
      <c r="I30" s="153" t="n"/>
    </row>
    <row r="31" ht="18" customHeight="1" s="90">
      <c r="B31" s="151" t="inlineStr">
        <is>
          <t>Finansinis nuostolis</t>
        </is>
      </c>
      <c r="C31" s="151">
        <f>COUNTIFS('📋 Registras'!K4:K200,"Finansinis nuostolis",'📋 Registras'!B4:B200,"&gt;="&amp;IF($C$5="",DATE(1900,1,1),$C$5),'📋 Registras'!B4:B200,"&lt;="&amp;IF($C$6="",DATE(9999,1,1),$C$6))</f>
        <v/>
      </c>
      <c r="D31" s="156">
        <f>IFERROR(C31/C10,0)</f>
        <v/>
      </c>
      <c r="E31" s="151" t="n"/>
      <c r="F31" s="151" t="n"/>
      <c r="G31" s="151" t="n"/>
      <c r="H31" s="151" t="n"/>
      <c r="I31" s="151" t="n"/>
    </row>
    <row r="32">
      <c r="B32" t="inlineStr">
        <is>
          <t>Reputacijos rizika</t>
        </is>
      </c>
      <c r="C32">
        <f>COUNTIFS('📋 Registras'!K4:K200,"Reputacijos rizika",'📋 Registras'!B4:B200,"&gt;="&amp;IF($C$5="",DATE(1900,1,1),$C$5),'📋 Registras'!B4:B200,"&lt;="&amp;IF($C$6="",DATE(9999,1,1),$C$6))</f>
        <v/>
      </c>
      <c r="D32" s="157">
        <f>IFERROR(C32/C10,0)</f>
        <v/>
      </c>
    </row>
    <row r="33">
      <c r="B33" t="inlineStr">
        <is>
          <t>Proceso klaida</t>
        </is>
      </c>
      <c r="C33">
        <f>COUNTIFS('📋 Registras'!K4:K200,"Proceso klaida",'📋 Registras'!B4:B200,"&gt;="&amp;IF($C$5="",DATE(1900,1,1),$C$5),'📋 Registras'!B4:B200,"&lt;="&amp;IF($C$6="",DATE(9999,1,1),$C$6))</f>
        <v/>
      </c>
      <c r="D33" s="157">
        <f>IFERROR(C33/C10,0)</f>
        <v/>
      </c>
    </row>
    <row r="34">
      <c r="B34" t="inlineStr">
        <is>
          <t>Teigiamas poveikis</t>
        </is>
      </c>
      <c r="C34">
        <f>COUNTIFS('📋 Registras'!K4:K200,"Teigiamas poveikis",'📋 Registras'!B4:B200,"&gt;="&amp;IF($C$5="",DATE(1900,1,1),$C$5),'📋 Registras'!B4:B200,"&lt;="&amp;IF($C$6="",DATE(9999,1,1),$C$6))</f>
        <v/>
      </c>
      <c r="D34" s="157">
        <f>IFERROR(C34/C10,0)</f>
        <v/>
      </c>
    </row>
    <row r="35">
      <c r="B35" t="inlineStr">
        <is>
          <t>Vidinis</t>
        </is>
      </c>
      <c r="C35">
        <f>COUNTIFS('📋 Registras'!K4:K200,"Vidinis",'📋 Registras'!B4:B200,"&gt;="&amp;IF($C$5="",DATE(1900,1,1),$C$5),'📋 Registras'!B4:B200,"&lt;="&amp;IF($C$6="",DATE(9999,1,1),$C$6))</f>
        <v/>
      </c>
      <c r="D35" s="157">
        <f>IFERROR(C35/C10,0)</f>
        <v/>
      </c>
    </row>
  </sheetData>
  <mergeCells count="8">
    <mergeCell ref="A2:L2"/>
    <mergeCell ref="B25:J25"/>
    <mergeCell ref="A1:L1"/>
    <mergeCell ref="B4:D4"/>
    <mergeCell ref="F14:J14"/>
    <mergeCell ref="B12:J12"/>
    <mergeCell ref="B16:J16"/>
    <mergeCell ref="B8:L8"/>
  </mergeCells>
  <printOptions horizontalCentered="0" verticalCentered="0" headings="0" gridLines="0" gridLinesSet="1"/>
  <pageMargins left="0.75" right="0.75" top="1" bottom="1" header="0.511811023622047" footer="0.511811023622047"/>
  <pageSetup orientation="portrait" paperSize="9" scale="100" fitToHeight="1" fitToWidth="1" pageOrder="downThenOver" blackAndWhite="0" draft="0" horizontalDpi="300" verticalDpi="300" copies="1"/>
</worksheet>
</file>

<file path=xl/worksheets/sheet3.xml><?xml version="1.0" encoding="utf-8"?>
<worksheet xmlns="http://schemas.openxmlformats.org/spreadsheetml/2006/main">
  <sheetPr filterMode="0">
    <outlinePr summaryBelow="1" summaryRight="1"/>
    <pageSetUpPr fitToPage="0"/>
  </sheetPr>
  <dimension ref="B1:J38"/>
  <sheetViews>
    <sheetView showFormulas="0" showGridLines="1" showRowColHeaders="1" showZeros="1" rightToLeft="0" tabSelected="0" showOutlineSymbols="1" defaultGridColor="1" view="normal" topLeftCell="A1" colorId="64" zoomScale="100" zoomScaleNormal="100" zoomScalePageLayoutView="100" workbookViewId="0">
      <selection pane="topLeft" activeCell="A1" activeCellId="0" sqref="A1"/>
    </sheetView>
  </sheetViews>
  <sheetFormatPr baseColWidth="8" defaultColWidth="8.6796875" defaultRowHeight="15" zeroHeight="0" outlineLevelRow="0"/>
  <cols>
    <col width="3" customWidth="1" style="89" min="1" max="1"/>
    <col width="14" customWidth="1" style="89" min="2" max="2"/>
    <col width="12" customWidth="1" style="89" min="3" max="10"/>
  </cols>
  <sheetData>
    <row r="1" ht="27.75" customHeight="1" s="90">
      <c r="B1" s="158" t="inlineStr">
        <is>
          <t>MĖNESINĖ DINAMIKA · TRENDŲ STEBĖSENA</t>
        </is>
      </c>
    </row>
    <row r="2" ht="15" customHeight="1" s="90">
      <c r="B2" s="159" t="inlineStr">
        <is>
          <t>Duomenys automatiškai traukiami iš Registras lapo · Tik 'Vadovo komentaras' pildomas rankiniu būdu</t>
        </is>
      </c>
    </row>
    <row r="4" ht="30" customHeight="1" s="90">
      <c r="B4" s="160" t="inlineStr">
        <is>
          <t>Mėnuo</t>
        </is>
      </c>
      <c r="C4" s="160" t="inlineStr">
        <is>
          <t>Iš viso
įrašų</t>
        </is>
      </c>
      <c r="D4" s="160" t="inlineStr">
        <is>
          <t>Skundai
pagrįsti</t>
        </is>
      </c>
      <c r="E4" s="160" t="inlineStr">
        <is>
          <t>Neatitiktys</t>
        </is>
      </c>
      <c r="F4" s="160" t="inlineStr">
        <is>
          <t>FCR %</t>
        </is>
      </c>
      <c r="G4" s="160" t="inlineStr">
        <is>
          <t>Atvirų
(mėn. pab.)</t>
        </is>
      </c>
      <c r="H4" s="160" t="inlineStr">
        <is>
          <t>🔴 Aukšto
priorit.</t>
        </is>
      </c>
      <c r="I4" s="160" t="inlineStr">
        <is>
          <t>Pasikartoj.</t>
        </is>
      </c>
      <c r="J4" s="160" t="inlineStr">
        <is>
          <t>Vadovo
komentaras</t>
        </is>
      </c>
    </row>
    <row r="5" ht="18" customHeight="1" s="90">
      <c r="B5" s="161" t="inlineStr">
        <is>
          <t>2025-01</t>
        </is>
      </c>
      <c r="C5" s="143">
        <f>COUNTIFS('📋 Registras'!A4:A200,"&lt;&gt;",'📋 Registras'!B4:B200,"&gt;="&amp;DATE(2025,1,1),'📋 Registras'!B4:B200,"&lt;="&amp;DATE(2025,1,31))</f>
        <v/>
      </c>
      <c r="D5" s="143">
        <f>COUNTIFS('📋 Registras'!D4:D200,"Skundas pagrįstas",'📋 Registras'!B4:B200,"&gt;="&amp;DATE(2025,1,1),'📋 Registras'!B4:B200,"&lt;="&amp;DATE(2025,1,31))</f>
        <v/>
      </c>
      <c r="E5" s="143">
        <f>COUNTIFS('📋 Registras'!D4:D200,"Neatitiktis (procesas)",'📋 Registras'!B4:B200,"&gt;="&amp;DATE(2025,1,1),'📋 Registras'!B4:B200,"&lt;="&amp;DATE(2025,1,31))</f>
        <v/>
      </c>
      <c r="F5" s="162">
        <f>IFERROR(COUNTIFS('📋 Registras'!E4:E200,"Taip",'📋 Registras'!B4:B200,"&gt;="&amp;DATE(2025,1,1),'📋 Registras'!B4:B200,"&lt;="&amp;DATE(2025,1,31))/COUNTIFS('📋 Registras'!A4:A200,"&lt;&gt;",'📋 Registras'!B4:B200,"&gt;="&amp;DATE(2025,1,1),'📋 Registras'!B4:B200,"&lt;="&amp;DATE(2025,1,31)),0)</f>
        <v/>
      </c>
      <c r="G5" s="143">
        <f>COUNTIFS('📋 Registras'!R4:R200,"Atviras",'📋 Registras'!B4:B200,"&gt;="&amp;DATE(2025,1,1),'📋 Registras'!B4:B200,"&lt;="&amp;DATE(2025,1,31))+COUNTIFS('📋 Registras'!R4:R200,"Vykdoma",'📋 Registras'!B4:B200,"&gt;="&amp;DATE(2025,1,1),'📋 Registras'!B4:B200,"&lt;="&amp;DATE(2025,1,31))</f>
        <v/>
      </c>
      <c r="H5" s="143">
        <f>COUNTIFS('📋 Registras'!L4:L200,"🔴 Aukštas",'📋 Registras'!B4:B200,"&gt;="&amp;DATE(2025,1,1),'📋 Registras'!B4:B200,"&lt;="&amp;DATE(2025,1,31))</f>
        <v/>
      </c>
      <c r="I5" s="143">
        <f>COUNTIFS('📋 Registras'!J4:J200,"Taip*",'📋 Registras'!B4:B200,"&gt;="&amp;DATE(2025,1,1),'📋 Registras'!B4:B200,"&lt;="&amp;DATE(2025,1,31))</f>
        <v/>
      </c>
      <c r="J5" s="143" t="n"/>
    </row>
    <row r="6" ht="18" customHeight="1" s="90">
      <c r="B6" s="163" t="inlineStr">
        <is>
          <t>2025-02</t>
        </is>
      </c>
      <c r="C6" s="147">
        <f>COUNTIFS('📋 Registras'!A4:A200,"&lt;&gt;",'📋 Registras'!B4:B200,"&gt;="&amp;DATE(2025,2,1),'📋 Registras'!B4:B200,"&lt;="&amp;DATE(2025,2,28))</f>
        <v/>
      </c>
      <c r="D6" s="147">
        <f>COUNTIFS('📋 Registras'!D4:D200,"Skundas pagrįstas",'📋 Registras'!B4:B200,"&gt;="&amp;DATE(2025,2,1),'📋 Registras'!B4:B200,"&lt;="&amp;DATE(2025,2,28))</f>
        <v/>
      </c>
      <c r="E6" s="147">
        <f>COUNTIFS('📋 Registras'!D4:D200,"Neatitiktis (procesas)",'📋 Registras'!B4:B200,"&gt;="&amp;DATE(2025,2,1),'📋 Registras'!B4:B200,"&lt;="&amp;DATE(2025,2,28))</f>
        <v/>
      </c>
      <c r="F6" s="164">
        <f>IFERROR(COUNTIFS('📋 Registras'!E4:E200,"Taip",'📋 Registras'!B4:B200,"&gt;="&amp;DATE(2025,2,1),'📋 Registras'!B4:B200,"&lt;="&amp;DATE(2025,2,28))/COUNTIFS('📋 Registras'!A4:A200,"&lt;&gt;",'📋 Registras'!B4:B200,"&gt;="&amp;DATE(2025,2,1),'📋 Registras'!B4:B200,"&lt;="&amp;DATE(2025,2,28)),0)</f>
        <v/>
      </c>
      <c r="G6" s="147">
        <f>COUNTIFS('📋 Registras'!R4:R200,"Atviras",'📋 Registras'!B4:B200,"&gt;="&amp;DATE(2025,2,1),'📋 Registras'!B4:B200,"&lt;="&amp;DATE(2025,2,28))+COUNTIFS('📋 Registras'!R4:R200,"Vykdoma",'📋 Registras'!B4:B200,"&gt;="&amp;DATE(2025,2,1),'📋 Registras'!B4:B200,"&lt;="&amp;DATE(2025,2,28))</f>
        <v/>
      </c>
      <c r="H6" s="147">
        <f>COUNTIFS('📋 Registras'!L4:L200,"🔴 Aukštas",'📋 Registras'!B4:B200,"&gt;="&amp;DATE(2025,2,1),'📋 Registras'!B4:B200,"&lt;="&amp;DATE(2025,2,28))</f>
        <v/>
      </c>
      <c r="I6" s="147">
        <f>COUNTIFS('📋 Registras'!J4:J200,"Taip*",'📋 Registras'!B4:B200,"&gt;="&amp;DATE(2025,2,1),'📋 Registras'!B4:B200,"&lt;="&amp;DATE(2025,2,28))</f>
        <v/>
      </c>
      <c r="J6" s="147" t="n"/>
    </row>
    <row r="7" ht="18" customHeight="1" s="90">
      <c r="B7" s="161" t="inlineStr">
        <is>
          <t>2025-03</t>
        </is>
      </c>
      <c r="C7" s="143">
        <f>COUNTIFS('📋 Registras'!A4:A200,"&lt;&gt;",'📋 Registras'!B4:B200,"&gt;="&amp;DATE(2025,3,1),'📋 Registras'!B4:B200,"&lt;="&amp;DATE(2025,3,31))</f>
        <v/>
      </c>
      <c r="D7" s="143">
        <f>COUNTIFS('📋 Registras'!D4:D200,"Skundas pagrįstas",'📋 Registras'!B4:B200,"&gt;="&amp;DATE(2025,3,1),'📋 Registras'!B4:B200,"&lt;="&amp;DATE(2025,3,31))</f>
        <v/>
      </c>
      <c r="E7" s="143">
        <f>COUNTIFS('📋 Registras'!D4:D200,"Neatitiktis (procesas)",'📋 Registras'!B4:B200,"&gt;="&amp;DATE(2025,3,1),'📋 Registras'!B4:B200,"&lt;="&amp;DATE(2025,3,31))</f>
        <v/>
      </c>
      <c r="F7" s="162">
        <f>IFERROR(COUNTIFS('📋 Registras'!E4:E200,"Taip",'📋 Registras'!B4:B200,"&gt;="&amp;DATE(2025,3,1),'📋 Registras'!B4:B200,"&lt;="&amp;DATE(2025,3,31))/COUNTIFS('📋 Registras'!A4:A200,"&lt;&gt;",'📋 Registras'!B4:B200,"&gt;="&amp;DATE(2025,3,1),'📋 Registras'!B4:B200,"&lt;="&amp;DATE(2025,3,31)),0)</f>
        <v/>
      </c>
      <c r="G7" s="143">
        <f>COUNTIFS('📋 Registras'!R4:R200,"Atviras",'📋 Registras'!B4:B200,"&gt;="&amp;DATE(2025,3,1),'📋 Registras'!B4:B200,"&lt;="&amp;DATE(2025,3,31))+COUNTIFS('📋 Registras'!R4:R200,"Vykdoma",'📋 Registras'!B4:B200,"&gt;="&amp;DATE(2025,3,1),'📋 Registras'!B4:B200,"&lt;="&amp;DATE(2025,3,31))</f>
        <v/>
      </c>
      <c r="H7" s="143">
        <f>COUNTIFS('📋 Registras'!L4:L200,"🔴 Aukštas",'📋 Registras'!B4:B200,"&gt;="&amp;DATE(2025,3,1),'📋 Registras'!B4:B200,"&lt;="&amp;DATE(2025,3,31))</f>
        <v/>
      </c>
      <c r="I7" s="143">
        <f>COUNTIFS('📋 Registras'!J4:J200,"Taip*",'📋 Registras'!B4:B200,"&gt;="&amp;DATE(2025,3,1),'📋 Registras'!B4:B200,"&lt;="&amp;DATE(2025,3,31))</f>
        <v/>
      </c>
      <c r="J7" s="143" t="n"/>
    </row>
    <row r="8" ht="18" customHeight="1" s="90">
      <c r="B8" s="163" t="inlineStr">
        <is>
          <t>2025-04</t>
        </is>
      </c>
      <c r="C8" s="147">
        <f>COUNTIFS('📋 Registras'!A4:A200,"&lt;&gt;",'📋 Registras'!B4:B200,"&gt;="&amp;DATE(2025,4,1),'📋 Registras'!B4:B200,"&lt;="&amp;DATE(2025,4,30))</f>
        <v/>
      </c>
      <c r="D8" s="147">
        <f>COUNTIFS('📋 Registras'!D4:D200,"Skundas pagrįstas",'📋 Registras'!B4:B200,"&gt;="&amp;DATE(2025,4,1),'📋 Registras'!B4:B200,"&lt;="&amp;DATE(2025,4,30))</f>
        <v/>
      </c>
      <c r="E8" s="147">
        <f>COUNTIFS('📋 Registras'!D4:D200,"Neatitiktis (procesas)",'📋 Registras'!B4:B200,"&gt;="&amp;DATE(2025,4,1),'📋 Registras'!B4:B200,"&lt;="&amp;DATE(2025,4,30))</f>
        <v/>
      </c>
      <c r="F8" s="164">
        <f>IFERROR(COUNTIFS('📋 Registras'!E4:E200,"Taip",'📋 Registras'!B4:B200,"&gt;="&amp;DATE(2025,4,1),'📋 Registras'!B4:B200,"&lt;="&amp;DATE(2025,4,30))/COUNTIFS('📋 Registras'!A4:A200,"&lt;&gt;",'📋 Registras'!B4:B200,"&gt;="&amp;DATE(2025,4,1),'📋 Registras'!B4:B200,"&lt;="&amp;DATE(2025,4,30)),0)</f>
        <v/>
      </c>
      <c r="G8" s="147">
        <f>COUNTIFS('📋 Registras'!R4:R200,"Atviras",'📋 Registras'!B4:B200,"&gt;="&amp;DATE(2025,4,1),'📋 Registras'!B4:B200,"&lt;="&amp;DATE(2025,4,30))+COUNTIFS('📋 Registras'!R4:R200,"Vykdoma",'📋 Registras'!B4:B200,"&gt;="&amp;DATE(2025,4,1),'📋 Registras'!B4:B200,"&lt;="&amp;DATE(2025,4,30))</f>
        <v/>
      </c>
      <c r="H8" s="147">
        <f>COUNTIFS('📋 Registras'!L4:L200,"🔴 Aukštas",'📋 Registras'!B4:B200,"&gt;="&amp;DATE(2025,4,1),'📋 Registras'!B4:B200,"&lt;="&amp;DATE(2025,4,30))</f>
        <v/>
      </c>
      <c r="I8" s="147">
        <f>COUNTIFS('📋 Registras'!J4:J200,"Taip*",'📋 Registras'!B4:B200,"&gt;="&amp;DATE(2025,4,1),'📋 Registras'!B4:B200,"&lt;="&amp;DATE(2025,4,30))</f>
        <v/>
      </c>
      <c r="J8" s="147" t="n"/>
    </row>
    <row r="9" ht="18" customHeight="1" s="90">
      <c r="B9" s="161" t="inlineStr">
        <is>
          <t>2025-05</t>
        </is>
      </c>
      <c r="C9" s="143">
        <f>COUNTIFS('📋 Registras'!A4:A200,"&lt;&gt;",'📋 Registras'!B4:B200,"&gt;="&amp;DATE(2025,5,1),'📋 Registras'!B4:B200,"&lt;="&amp;DATE(2025,5,31))</f>
        <v/>
      </c>
      <c r="D9" s="143">
        <f>COUNTIFS('📋 Registras'!D4:D200,"Skundas pagrįstas",'📋 Registras'!B4:B200,"&gt;="&amp;DATE(2025,5,1),'📋 Registras'!B4:B200,"&lt;="&amp;DATE(2025,5,31))</f>
        <v/>
      </c>
      <c r="E9" s="143">
        <f>COUNTIFS('📋 Registras'!D4:D200,"Neatitiktis (procesas)",'📋 Registras'!B4:B200,"&gt;="&amp;DATE(2025,5,1),'📋 Registras'!B4:B200,"&lt;="&amp;DATE(2025,5,31))</f>
        <v/>
      </c>
      <c r="F9" s="162">
        <f>IFERROR(COUNTIFS('📋 Registras'!E4:E200,"Taip",'📋 Registras'!B4:B200,"&gt;="&amp;DATE(2025,5,1),'📋 Registras'!B4:B200,"&lt;="&amp;DATE(2025,5,31))/COUNTIFS('📋 Registras'!A4:A200,"&lt;&gt;",'📋 Registras'!B4:B200,"&gt;="&amp;DATE(2025,5,1),'📋 Registras'!B4:B200,"&lt;="&amp;DATE(2025,5,31)),0)</f>
        <v/>
      </c>
      <c r="G9" s="143">
        <f>COUNTIFS('📋 Registras'!R4:R200,"Atviras",'📋 Registras'!B4:B200,"&gt;="&amp;DATE(2025,5,1),'📋 Registras'!B4:B200,"&lt;="&amp;DATE(2025,5,31))+COUNTIFS('📋 Registras'!R4:R200,"Vykdoma",'📋 Registras'!B4:B200,"&gt;="&amp;DATE(2025,5,1),'📋 Registras'!B4:B200,"&lt;="&amp;DATE(2025,5,31))</f>
        <v/>
      </c>
      <c r="H9" s="143">
        <f>COUNTIFS('📋 Registras'!L4:L200,"🔴 Aukštas",'📋 Registras'!B4:B200,"&gt;="&amp;DATE(2025,5,1),'📋 Registras'!B4:B200,"&lt;="&amp;DATE(2025,5,31))</f>
        <v/>
      </c>
      <c r="I9" s="143">
        <f>COUNTIFS('📋 Registras'!J4:J200,"Taip*",'📋 Registras'!B4:B200,"&gt;="&amp;DATE(2025,5,1),'📋 Registras'!B4:B200,"&lt;="&amp;DATE(2025,5,31))</f>
        <v/>
      </c>
      <c r="J9" s="143" t="n"/>
    </row>
    <row r="10" ht="18" customHeight="1" s="90">
      <c r="B10" s="163" t="inlineStr">
        <is>
          <t>2025-06</t>
        </is>
      </c>
      <c r="C10" s="147">
        <f>COUNTIFS('📋 Registras'!A4:A200,"&lt;&gt;",'📋 Registras'!B4:B200,"&gt;="&amp;DATE(2025,6,1),'📋 Registras'!B4:B200,"&lt;="&amp;DATE(2025,6,30))</f>
        <v/>
      </c>
      <c r="D10" s="147">
        <f>COUNTIFS('📋 Registras'!D4:D200,"Skundas pagrįstas",'📋 Registras'!B4:B200,"&gt;="&amp;DATE(2025,6,1),'📋 Registras'!B4:B200,"&lt;="&amp;DATE(2025,6,30))</f>
        <v/>
      </c>
      <c r="E10" s="147">
        <f>COUNTIFS('📋 Registras'!D4:D200,"Neatitiktis (procesas)",'📋 Registras'!B4:B200,"&gt;="&amp;DATE(2025,6,1),'📋 Registras'!B4:B200,"&lt;="&amp;DATE(2025,6,30))</f>
        <v/>
      </c>
      <c r="F10" s="164">
        <f>IFERROR(COUNTIFS('📋 Registras'!E4:E200,"Taip",'📋 Registras'!B4:B200,"&gt;="&amp;DATE(2025,6,1),'📋 Registras'!B4:B200,"&lt;="&amp;DATE(2025,6,30))/COUNTIFS('📋 Registras'!A4:A200,"&lt;&gt;",'📋 Registras'!B4:B200,"&gt;="&amp;DATE(2025,6,1),'📋 Registras'!B4:B200,"&lt;="&amp;DATE(2025,6,30)),0)</f>
        <v/>
      </c>
      <c r="G10" s="147">
        <f>COUNTIFS('📋 Registras'!R4:R200,"Atviras",'📋 Registras'!B4:B200,"&gt;="&amp;DATE(2025,6,1),'📋 Registras'!B4:B200,"&lt;="&amp;DATE(2025,6,30))+COUNTIFS('📋 Registras'!R4:R200,"Vykdoma",'📋 Registras'!B4:B200,"&gt;="&amp;DATE(2025,6,1),'📋 Registras'!B4:B200,"&lt;="&amp;DATE(2025,6,30))</f>
        <v/>
      </c>
      <c r="H10" s="147">
        <f>COUNTIFS('📋 Registras'!L4:L200,"🔴 Aukštas",'📋 Registras'!B4:B200,"&gt;="&amp;DATE(2025,6,1),'📋 Registras'!B4:B200,"&lt;="&amp;DATE(2025,6,30))</f>
        <v/>
      </c>
      <c r="I10" s="147">
        <f>COUNTIFS('📋 Registras'!J4:J200,"Taip*",'📋 Registras'!B4:B200,"&gt;="&amp;DATE(2025,6,1),'📋 Registras'!B4:B200,"&lt;="&amp;DATE(2025,6,30))</f>
        <v/>
      </c>
      <c r="J10" s="147" t="n"/>
    </row>
    <row r="11" ht="18" customHeight="1" s="90">
      <c r="B11" s="161" t="inlineStr">
        <is>
          <t>2025-07</t>
        </is>
      </c>
      <c r="C11" s="143">
        <f>COUNTIFS('📋 Registras'!A4:A200,"&lt;&gt;",'📋 Registras'!B4:B200,"&gt;="&amp;DATE(2025,7,1),'📋 Registras'!B4:B200,"&lt;="&amp;DATE(2025,7,31))</f>
        <v/>
      </c>
      <c r="D11" s="143">
        <f>COUNTIFS('📋 Registras'!D4:D200,"Skundas pagrįstas",'📋 Registras'!B4:B200,"&gt;="&amp;DATE(2025,7,1),'📋 Registras'!B4:B200,"&lt;="&amp;DATE(2025,7,31))</f>
        <v/>
      </c>
      <c r="E11" s="143">
        <f>COUNTIFS('📋 Registras'!D4:D200,"Neatitiktis (procesas)",'📋 Registras'!B4:B200,"&gt;="&amp;DATE(2025,7,1),'📋 Registras'!B4:B200,"&lt;="&amp;DATE(2025,7,31))</f>
        <v/>
      </c>
      <c r="F11" s="162">
        <f>IFERROR(COUNTIFS('📋 Registras'!E4:E200,"Taip",'📋 Registras'!B4:B200,"&gt;="&amp;DATE(2025,7,1),'📋 Registras'!B4:B200,"&lt;="&amp;DATE(2025,7,31))/COUNTIFS('📋 Registras'!A4:A200,"&lt;&gt;",'📋 Registras'!B4:B200,"&gt;="&amp;DATE(2025,7,1),'📋 Registras'!B4:B200,"&lt;="&amp;DATE(2025,7,31)),0)</f>
        <v/>
      </c>
      <c r="G11" s="143">
        <f>COUNTIFS('📋 Registras'!R4:R200,"Atviras",'📋 Registras'!B4:B200,"&gt;="&amp;DATE(2025,7,1),'📋 Registras'!B4:B200,"&lt;="&amp;DATE(2025,7,31))+COUNTIFS('📋 Registras'!R4:R200,"Vykdoma",'📋 Registras'!B4:B200,"&gt;="&amp;DATE(2025,7,1),'📋 Registras'!B4:B200,"&lt;="&amp;DATE(2025,7,31))</f>
        <v/>
      </c>
      <c r="H11" s="143">
        <f>COUNTIFS('📋 Registras'!L4:L200,"🔴 Aukštas",'📋 Registras'!B4:B200,"&gt;="&amp;DATE(2025,7,1),'📋 Registras'!B4:B200,"&lt;="&amp;DATE(2025,7,31))</f>
        <v/>
      </c>
      <c r="I11" s="143">
        <f>COUNTIFS('📋 Registras'!J4:J200,"Taip*",'📋 Registras'!B4:B200,"&gt;="&amp;DATE(2025,7,1),'📋 Registras'!B4:B200,"&lt;="&amp;DATE(2025,7,31))</f>
        <v/>
      </c>
      <c r="J11" s="143" t="n"/>
    </row>
    <row r="12" ht="18" customHeight="1" s="90">
      <c r="B12" s="163" t="inlineStr">
        <is>
          <t>2025-08</t>
        </is>
      </c>
      <c r="C12" s="147">
        <f>COUNTIFS('📋 Registras'!A4:A200,"&lt;&gt;",'📋 Registras'!B4:B200,"&gt;="&amp;DATE(2025,8,1),'📋 Registras'!B4:B200,"&lt;="&amp;DATE(2025,8,31))</f>
        <v/>
      </c>
      <c r="D12" s="147">
        <f>COUNTIFS('📋 Registras'!D4:D200,"Skundas pagrįstas",'📋 Registras'!B4:B200,"&gt;="&amp;DATE(2025,8,1),'📋 Registras'!B4:B200,"&lt;="&amp;DATE(2025,8,31))</f>
        <v/>
      </c>
      <c r="E12" s="147">
        <f>COUNTIFS('📋 Registras'!D4:D200,"Neatitiktis (procesas)",'📋 Registras'!B4:B200,"&gt;="&amp;DATE(2025,8,1),'📋 Registras'!B4:B200,"&lt;="&amp;DATE(2025,8,31))</f>
        <v/>
      </c>
      <c r="F12" s="164">
        <f>IFERROR(COUNTIFS('📋 Registras'!E4:E200,"Taip",'📋 Registras'!B4:B200,"&gt;="&amp;DATE(2025,8,1),'📋 Registras'!B4:B200,"&lt;="&amp;DATE(2025,8,31))/COUNTIFS('📋 Registras'!A4:A200,"&lt;&gt;",'📋 Registras'!B4:B200,"&gt;="&amp;DATE(2025,8,1),'📋 Registras'!B4:B200,"&lt;="&amp;DATE(2025,8,31)),0)</f>
        <v/>
      </c>
      <c r="G12" s="147">
        <f>COUNTIFS('📋 Registras'!R4:R200,"Atviras",'📋 Registras'!B4:B200,"&gt;="&amp;DATE(2025,8,1),'📋 Registras'!B4:B200,"&lt;="&amp;DATE(2025,8,31))+COUNTIFS('📋 Registras'!R4:R200,"Vykdoma",'📋 Registras'!B4:B200,"&gt;="&amp;DATE(2025,8,1),'📋 Registras'!B4:B200,"&lt;="&amp;DATE(2025,8,31))</f>
        <v/>
      </c>
      <c r="H12" s="147">
        <f>COUNTIFS('📋 Registras'!L4:L200,"🔴 Aukštas",'📋 Registras'!B4:B200,"&gt;="&amp;DATE(2025,8,1),'📋 Registras'!B4:B200,"&lt;="&amp;DATE(2025,8,31))</f>
        <v/>
      </c>
      <c r="I12" s="147">
        <f>COUNTIFS('📋 Registras'!J4:J200,"Taip*",'📋 Registras'!B4:B200,"&gt;="&amp;DATE(2025,8,1),'📋 Registras'!B4:B200,"&lt;="&amp;DATE(2025,8,31))</f>
        <v/>
      </c>
      <c r="J12" s="147" t="n"/>
    </row>
    <row r="13" ht="18" customHeight="1" s="90">
      <c r="B13" s="161" t="inlineStr">
        <is>
          <t>2025-09</t>
        </is>
      </c>
      <c r="C13" s="143">
        <f>COUNTIFS('📋 Registras'!A4:A200,"&lt;&gt;",'📋 Registras'!B4:B200,"&gt;="&amp;DATE(2025,9,1),'📋 Registras'!B4:B200,"&lt;="&amp;DATE(2025,9,30))</f>
        <v/>
      </c>
      <c r="D13" s="143">
        <f>COUNTIFS('📋 Registras'!D4:D200,"Skundas pagrįstas",'📋 Registras'!B4:B200,"&gt;="&amp;DATE(2025,9,1),'📋 Registras'!B4:B200,"&lt;="&amp;DATE(2025,9,30))</f>
        <v/>
      </c>
      <c r="E13" s="143">
        <f>COUNTIFS('📋 Registras'!D4:D200,"Neatitiktis (procesas)",'📋 Registras'!B4:B200,"&gt;="&amp;DATE(2025,9,1),'📋 Registras'!B4:B200,"&lt;="&amp;DATE(2025,9,30))</f>
        <v/>
      </c>
      <c r="F13" s="162">
        <f>IFERROR(COUNTIFS('📋 Registras'!E4:E200,"Taip",'📋 Registras'!B4:B200,"&gt;="&amp;DATE(2025,9,1),'📋 Registras'!B4:B200,"&lt;="&amp;DATE(2025,9,30))/COUNTIFS('📋 Registras'!A4:A200,"&lt;&gt;",'📋 Registras'!B4:B200,"&gt;="&amp;DATE(2025,9,1),'📋 Registras'!B4:B200,"&lt;="&amp;DATE(2025,9,30)),0)</f>
        <v/>
      </c>
      <c r="G13" s="143">
        <f>COUNTIFS('📋 Registras'!R4:R200,"Atviras",'📋 Registras'!B4:B200,"&gt;="&amp;DATE(2025,9,1),'📋 Registras'!B4:B200,"&lt;="&amp;DATE(2025,9,30))+COUNTIFS('📋 Registras'!R4:R200,"Vykdoma",'📋 Registras'!B4:B200,"&gt;="&amp;DATE(2025,9,1),'📋 Registras'!B4:B200,"&lt;="&amp;DATE(2025,9,30))</f>
        <v/>
      </c>
      <c r="H13" s="143">
        <f>COUNTIFS('📋 Registras'!L4:L200,"🔴 Aukštas",'📋 Registras'!B4:B200,"&gt;="&amp;DATE(2025,9,1),'📋 Registras'!B4:B200,"&lt;="&amp;DATE(2025,9,30))</f>
        <v/>
      </c>
      <c r="I13" s="143">
        <f>COUNTIFS('📋 Registras'!J4:J200,"Taip*",'📋 Registras'!B4:B200,"&gt;="&amp;DATE(2025,9,1),'📋 Registras'!B4:B200,"&lt;="&amp;DATE(2025,9,30))</f>
        <v/>
      </c>
      <c r="J13" s="143" t="n"/>
    </row>
    <row r="14" ht="18" customHeight="1" s="90">
      <c r="B14" s="163" t="inlineStr">
        <is>
          <t>2025-10</t>
        </is>
      </c>
      <c r="C14" s="147">
        <f>COUNTIFS('📋 Registras'!A4:A200,"&lt;&gt;",'📋 Registras'!B4:B200,"&gt;="&amp;DATE(2025,10,1),'📋 Registras'!B4:B200,"&lt;="&amp;DATE(2025,10,31))</f>
        <v/>
      </c>
      <c r="D14" s="147">
        <f>COUNTIFS('📋 Registras'!D4:D200,"Skundas pagrįstas",'📋 Registras'!B4:B200,"&gt;="&amp;DATE(2025,10,1),'📋 Registras'!B4:B200,"&lt;="&amp;DATE(2025,10,31))</f>
        <v/>
      </c>
      <c r="E14" s="147">
        <f>COUNTIFS('📋 Registras'!D4:D200,"Neatitiktis (procesas)",'📋 Registras'!B4:B200,"&gt;="&amp;DATE(2025,10,1),'📋 Registras'!B4:B200,"&lt;="&amp;DATE(2025,10,31))</f>
        <v/>
      </c>
      <c r="F14" s="164">
        <f>IFERROR(COUNTIFS('📋 Registras'!E4:E200,"Taip",'📋 Registras'!B4:B200,"&gt;="&amp;DATE(2025,10,1),'📋 Registras'!B4:B200,"&lt;="&amp;DATE(2025,10,31))/COUNTIFS('📋 Registras'!A4:A200,"&lt;&gt;",'📋 Registras'!B4:B200,"&gt;="&amp;DATE(2025,10,1),'📋 Registras'!B4:B200,"&lt;="&amp;DATE(2025,10,31)),0)</f>
        <v/>
      </c>
      <c r="G14" s="147">
        <f>COUNTIFS('📋 Registras'!R4:R200,"Atviras",'📋 Registras'!B4:B200,"&gt;="&amp;DATE(2025,10,1),'📋 Registras'!B4:B200,"&lt;="&amp;DATE(2025,10,31))+COUNTIFS('📋 Registras'!R4:R200,"Vykdoma",'📋 Registras'!B4:B200,"&gt;="&amp;DATE(2025,10,1),'📋 Registras'!B4:B200,"&lt;="&amp;DATE(2025,10,31))</f>
        <v/>
      </c>
      <c r="H14" s="147">
        <f>COUNTIFS('📋 Registras'!L4:L200,"🔴 Aukštas",'📋 Registras'!B4:B200,"&gt;="&amp;DATE(2025,10,1),'📋 Registras'!B4:B200,"&lt;="&amp;DATE(2025,10,31))</f>
        <v/>
      </c>
      <c r="I14" s="147">
        <f>COUNTIFS('📋 Registras'!J4:J200,"Taip*",'📋 Registras'!B4:B200,"&gt;="&amp;DATE(2025,10,1),'📋 Registras'!B4:B200,"&lt;="&amp;DATE(2025,10,31))</f>
        <v/>
      </c>
      <c r="J14" s="147" t="n"/>
    </row>
    <row r="15" ht="18" customHeight="1" s="90">
      <c r="B15" s="161" t="inlineStr">
        <is>
          <t>2025-11</t>
        </is>
      </c>
      <c r="C15" s="143">
        <f>COUNTIFS('📋 Registras'!A4:A200,"&lt;&gt;",'📋 Registras'!B4:B200,"&gt;="&amp;DATE(2025,11,1),'📋 Registras'!B4:B200,"&lt;="&amp;DATE(2025,11,30))</f>
        <v/>
      </c>
      <c r="D15" s="143">
        <f>COUNTIFS('📋 Registras'!D4:D200,"Skundas pagrįstas",'📋 Registras'!B4:B200,"&gt;="&amp;DATE(2025,11,1),'📋 Registras'!B4:B200,"&lt;="&amp;DATE(2025,11,30))</f>
        <v/>
      </c>
      <c r="E15" s="143">
        <f>COUNTIFS('📋 Registras'!D4:D200,"Neatitiktis (procesas)",'📋 Registras'!B4:B200,"&gt;="&amp;DATE(2025,11,1),'📋 Registras'!B4:B200,"&lt;="&amp;DATE(2025,11,30))</f>
        <v/>
      </c>
      <c r="F15" s="162">
        <f>IFERROR(COUNTIFS('📋 Registras'!E4:E200,"Taip",'📋 Registras'!B4:B200,"&gt;="&amp;DATE(2025,11,1),'📋 Registras'!B4:B200,"&lt;="&amp;DATE(2025,11,30))/COUNTIFS('📋 Registras'!A4:A200,"&lt;&gt;",'📋 Registras'!B4:B200,"&gt;="&amp;DATE(2025,11,1),'📋 Registras'!B4:B200,"&lt;="&amp;DATE(2025,11,30)),0)</f>
        <v/>
      </c>
      <c r="G15" s="143">
        <f>COUNTIFS('📋 Registras'!R4:R200,"Atviras",'📋 Registras'!B4:B200,"&gt;="&amp;DATE(2025,11,1),'📋 Registras'!B4:B200,"&lt;="&amp;DATE(2025,11,30))+COUNTIFS('📋 Registras'!R4:R200,"Vykdoma",'📋 Registras'!B4:B200,"&gt;="&amp;DATE(2025,11,1),'📋 Registras'!B4:B200,"&lt;="&amp;DATE(2025,11,30))</f>
        <v/>
      </c>
      <c r="H15" s="143">
        <f>COUNTIFS('📋 Registras'!L4:L200,"🔴 Aukštas",'📋 Registras'!B4:B200,"&gt;="&amp;DATE(2025,11,1),'📋 Registras'!B4:B200,"&lt;="&amp;DATE(2025,11,30))</f>
        <v/>
      </c>
      <c r="I15" s="143">
        <f>COUNTIFS('📋 Registras'!J4:J200,"Taip*",'📋 Registras'!B4:B200,"&gt;="&amp;DATE(2025,11,1),'📋 Registras'!B4:B200,"&lt;="&amp;DATE(2025,11,30))</f>
        <v/>
      </c>
      <c r="J15" s="143" t="n"/>
    </row>
    <row r="16" ht="18" customHeight="1" s="90">
      <c r="B16" s="163" t="inlineStr">
        <is>
          <t>2025-12</t>
        </is>
      </c>
      <c r="C16" s="147">
        <f>COUNTIFS('📋 Registras'!A4:A200,"&lt;&gt;",'📋 Registras'!B4:B200,"&gt;="&amp;DATE(2025,12,1),'📋 Registras'!B4:B200,"&lt;="&amp;DATE(2025,12,31))</f>
        <v/>
      </c>
      <c r="D16" s="147">
        <f>COUNTIFS('📋 Registras'!D4:D200,"Skundas pagrįstas",'📋 Registras'!B4:B200,"&gt;="&amp;DATE(2025,12,1),'📋 Registras'!B4:B200,"&lt;="&amp;DATE(2025,12,31))</f>
        <v/>
      </c>
      <c r="E16" s="147">
        <f>COUNTIFS('📋 Registras'!D4:D200,"Neatitiktis (procesas)",'📋 Registras'!B4:B200,"&gt;="&amp;DATE(2025,12,1),'📋 Registras'!B4:B200,"&lt;="&amp;DATE(2025,12,31))</f>
        <v/>
      </c>
      <c r="F16" s="164">
        <f>IFERROR(COUNTIFS('📋 Registras'!E4:E200,"Taip",'📋 Registras'!B4:B200,"&gt;="&amp;DATE(2025,12,1),'📋 Registras'!B4:B200,"&lt;="&amp;DATE(2025,12,31))/COUNTIFS('📋 Registras'!A4:A200,"&lt;&gt;",'📋 Registras'!B4:B200,"&gt;="&amp;DATE(2025,12,1),'📋 Registras'!B4:B200,"&lt;="&amp;DATE(2025,12,31)),0)</f>
        <v/>
      </c>
      <c r="G16" s="147">
        <f>COUNTIFS('📋 Registras'!R4:R200,"Atviras",'📋 Registras'!B4:B200,"&gt;="&amp;DATE(2025,12,1),'📋 Registras'!B4:B200,"&lt;="&amp;DATE(2025,12,31))+COUNTIFS('📋 Registras'!R4:R200,"Vykdoma",'📋 Registras'!B4:B200,"&gt;="&amp;DATE(2025,12,1),'📋 Registras'!B4:B200,"&lt;="&amp;DATE(2025,12,31))</f>
        <v/>
      </c>
      <c r="H16" s="147">
        <f>COUNTIFS('📋 Registras'!L4:L200,"🔴 Aukštas",'📋 Registras'!B4:B200,"&gt;="&amp;DATE(2025,12,1),'📋 Registras'!B4:B200,"&lt;="&amp;DATE(2025,12,31))</f>
        <v/>
      </c>
      <c r="I16" s="147">
        <f>COUNTIFS('📋 Registras'!J4:J200,"Taip*",'📋 Registras'!B4:B200,"&gt;="&amp;DATE(2025,12,1),'📋 Registras'!B4:B200,"&lt;="&amp;DATE(2025,12,31))</f>
        <v/>
      </c>
      <c r="J16" s="147" t="n"/>
    </row>
    <row r="17" ht="21.75" customHeight="1" s="90">
      <c r="B17" s="165" t="inlineStr">
        <is>
          <t>💡 Visi skaitiniai rodikliai skaičiuojami automatiškai. Vadovo komentaras (J stulpelis) — rankinis.</t>
        </is>
      </c>
    </row>
    <row r="19" ht="21.75" customHeight="1" s="90">
      <c r="B19" s="133" t="inlineStr">
        <is>
          <t>POKYTIS: Paskutinis vs. Prieš tai mėnuo</t>
        </is>
      </c>
    </row>
    <row r="20" ht="19.5" customHeight="1" s="90">
      <c r="B20" s="166" t="inlineStr">
        <is>
          <t>Rodiklis</t>
        </is>
      </c>
      <c r="C20" s="166" t="inlineStr">
        <is>
          <t>Paskutinis mėn.</t>
        </is>
      </c>
      <c r="D20" s="166" t="inlineStr">
        <is>
          <t>Prieš tai mėn.</t>
        </is>
      </c>
      <c r="E20" s="166" t="inlineStr">
        <is>
          <t>Pokytis</t>
        </is>
      </c>
      <c r="F20" s="166" t="inlineStr">
        <is>
          <t>Kryptis</t>
        </is>
      </c>
    </row>
    <row r="21" ht="18" customHeight="1" s="90">
      <c r="B21" s="167" t="inlineStr">
        <is>
          <t>Iš viso įrašų</t>
        </is>
      </c>
      <c r="C21" s="168" t="n"/>
      <c r="D21" s="168" t="n"/>
      <c r="E21" s="168">
        <f>IF(AND(ISNUMBER(C21),ISNUMBER(D21)),C21-D21,"—")</f>
        <v/>
      </c>
      <c r="F21" s="168" t="n"/>
    </row>
    <row r="22" ht="18" customHeight="1" s="90">
      <c r="B22" s="167" t="inlineStr">
        <is>
          <t>Skundai pagrįsti</t>
        </is>
      </c>
      <c r="C22" s="168" t="n"/>
      <c r="D22" s="168" t="n"/>
      <c r="E22" s="168">
        <f>IF(AND(ISNUMBER(C22),ISNUMBER(D22)),C22-D22,"—")</f>
        <v/>
      </c>
      <c r="F22" s="168" t="n"/>
    </row>
    <row r="23" ht="18" customHeight="1" s="90">
      <c r="B23" s="167" t="inlineStr">
        <is>
          <t>FCR %</t>
        </is>
      </c>
      <c r="C23" s="169" t="n"/>
      <c r="D23" s="169" t="n"/>
      <c r="E23" s="169">
        <f>IF(AND(ISNUMBER(C23),ISNUMBER(D23)),C23-D23,"—")</f>
        <v/>
      </c>
      <c r="F23" s="168" t="n"/>
    </row>
    <row r="25" ht="21.75" customHeight="1" s="90">
      <c r="B25" s="130" t="inlineStr">
        <is>
          <t>MĖNESINIŲ IŠVADŲ ARCHYVAS (pildoma mėnesio pabaigoje)</t>
        </is>
      </c>
    </row>
    <row r="26" ht="21.75" customHeight="1" s="90">
      <c r="B26" s="131" t="inlineStr">
        <is>
          <t>Mėnuo</t>
        </is>
      </c>
      <c r="C26" s="131" t="inlineStr">
        <is>
          <t>Dominuojanti šakninė priežastis</t>
        </is>
      </c>
      <c r="D26" s="170" t="n"/>
      <c r="E26" s="131" t="inlineStr">
        <is>
          <t>Stebėsena</t>
        </is>
      </c>
      <c r="F26" s="170" t="n"/>
      <c r="G26" s="89" t="n"/>
    </row>
    <row r="27" ht="21.75" customHeight="1" s="90">
      <c r="B27" s="141" t="inlineStr">
        <is>
          <t>2025-01</t>
        </is>
      </c>
      <c r="C27" s="140" t="n"/>
      <c r="D27" s="140" t="n"/>
      <c r="E27" s="140" t="n"/>
      <c r="F27" s="140" t="n"/>
      <c r="G27" s="140" t="n"/>
      <c r="H27" s="140" t="n"/>
      <c r="I27" s="140" t="n"/>
    </row>
    <row r="28" ht="21.75" customHeight="1" s="90">
      <c r="B28" s="145" t="inlineStr">
        <is>
          <t>2025-02</t>
        </is>
      </c>
      <c r="C28" s="144" t="n"/>
      <c r="D28" s="144" t="n"/>
      <c r="E28" s="144" t="n"/>
      <c r="F28" s="144" t="n"/>
      <c r="G28" s="144" t="n"/>
      <c r="H28" s="144" t="n"/>
      <c r="I28" s="144" t="n"/>
    </row>
    <row r="29" ht="21.75" customHeight="1" s="90">
      <c r="B29" s="141" t="inlineStr">
        <is>
          <t>2025-03</t>
        </is>
      </c>
      <c r="C29" s="140" t="n"/>
      <c r="D29" s="140" t="n"/>
      <c r="E29" s="140" t="n"/>
      <c r="F29" s="140" t="n"/>
      <c r="G29" s="140" t="n"/>
      <c r="H29" s="140" t="n"/>
      <c r="I29" s="140" t="n"/>
    </row>
    <row r="30" ht="21.75" customHeight="1" s="90">
      <c r="B30" s="145" t="inlineStr">
        <is>
          <t>2025-04</t>
        </is>
      </c>
      <c r="C30" s="144" t="n"/>
      <c r="D30" s="144" t="n"/>
      <c r="E30" s="144" t="n"/>
      <c r="F30" s="144" t="n"/>
      <c r="G30" s="144" t="n"/>
      <c r="H30" s="144" t="n"/>
      <c r="I30" s="144" t="n"/>
    </row>
    <row r="31" ht="21.75" customHeight="1" s="90">
      <c r="B31" s="141" t="inlineStr">
        <is>
          <t>2025-05</t>
        </is>
      </c>
      <c r="C31" s="140" t="n"/>
      <c r="D31" s="140" t="n"/>
      <c r="E31" s="140" t="n"/>
      <c r="F31" s="140" t="n"/>
      <c r="G31" s="140" t="n"/>
      <c r="H31" s="140" t="n"/>
      <c r="I31" s="140" t="n"/>
    </row>
    <row r="32" ht="21.75" customHeight="1" s="90">
      <c r="B32" s="145" t="inlineStr">
        <is>
          <t>2025-06</t>
        </is>
      </c>
      <c r="C32" s="144" t="n"/>
      <c r="D32" s="144" t="n"/>
      <c r="E32" s="144" t="n"/>
      <c r="F32" s="144" t="n"/>
      <c r="G32" s="144" t="n"/>
      <c r="H32" s="144" t="n"/>
      <c r="I32" s="144" t="n"/>
    </row>
    <row r="33" ht="21.75" customHeight="1" s="90">
      <c r="B33" s="141" t="inlineStr">
        <is>
          <t>2025-07</t>
        </is>
      </c>
      <c r="C33" s="140" t="n"/>
      <c r="D33" s="140" t="n"/>
      <c r="E33" s="140" t="n"/>
      <c r="F33" s="140" t="n"/>
      <c r="G33" s="140" t="n"/>
      <c r="H33" s="140" t="n"/>
      <c r="I33" s="140" t="n"/>
    </row>
    <row r="34" ht="21.75" customHeight="1" s="90">
      <c r="B34" s="145" t="inlineStr">
        <is>
          <t>2025-08</t>
        </is>
      </c>
      <c r="C34" s="144" t="n"/>
      <c r="D34" s="144" t="n"/>
      <c r="E34" s="144" t="n"/>
      <c r="F34" s="144" t="n"/>
      <c r="G34" s="144" t="n"/>
      <c r="H34" s="144" t="n"/>
      <c r="I34" s="144" t="n"/>
    </row>
    <row r="35" ht="21.75" customHeight="1" s="90">
      <c r="B35" s="141" t="inlineStr">
        <is>
          <t>2025-09</t>
        </is>
      </c>
      <c r="C35" s="140" t="n"/>
      <c r="D35" s="140" t="n"/>
      <c r="E35" s="140" t="n"/>
      <c r="F35" s="140" t="n"/>
      <c r="G35" s="140" t="n"/>
      <c r="H35" s="140" t="n"/>
      <c r="I35" s="140" t="n"/>
    </row>
    <row r="36" ht="21.75" customHeight="1" s="90">
      <c r="B36" s="145" t="inlineStr">
        <is>
          <t>2025-10</t>
        </is>
      </c>
      <c r="C36" s="144" t="n"/>
      <c r="D36" s="144" t="n"/>
      <c r="E36" s="144" t="n"/>
      <c r="F36" s="144" t="n"/>
      <c r="G36" s="144" t="n"/>
      <c r="H36" s="144" t="n"/>
      <c r="I36" s="144" t="n"/>
    </row>
    <row r="37" ht="21.75" customHeight="1" s="90">
      <c r="B37" s="141" t="inlineStr">
        <is>
          <t>2025-11</t>
        </is>
      </c>
      <c r="C37" s="140" t="n"/>
      <c r="D37" s="140" t="n"/>
      <c r="E37" s="140" t="n"/>
      <c r="F37" s="140" t="n"/>
      <c r="G37" s="140" t="n"/>
      <c r="H37" s="140" t="n"/>
      <c r="I37" s="140" t="n"/>
    </row>
    <row r="38" ht="21.75" customHeight="1" s="90">
      <c r="B38" s="145" t="inlineStr">
        <is>
          <t>2025-12</t>
        </is>
      </c>
      <c r="C38" s="144" t="n"/>
      <c r="D38" s="144" t="n"/>
      <c r="E38" s="144" t="n"/>
      <c r="F38" s="144" t="n"/>
      <c r="G38" s="144" t="n"/>
      <c r="H38" s="144" t="n"/>
      <c r="I38" s="144" t="n"/>
    </row>
  </sheetData>
  <mergeCells count="8">
    <mergeCell ref="B25:J25"/>
    <mergeCell ref="B19:J19"/>
    <mergeCell ref="B17:J17"/>
    <mergeCell ref="B1:J1"/>
    <mergeCell ref="E26:F26"/>
    <mergeCell ref="C26:D26"/>
    <mergeCell ref="G26:H26"/>
    <mergeCell ref="B2:J2"/>
  </mergeCells>
  <printOptions horizontalCentered="0" verticalCentered="0" headings="0" gridLines="0" gridLinesSet="1"/>
  <pageMargins left="0.75" right="0.75" top="1" bottom="1" header="0.511811023622047" footer="0.511811023622047"/>
  <pageSetup orientation="portrait" paperSize="9" scale="100" fitToHeight="1" fitToWidth="1" pageOrder="downThenOver" blackAndWhite="0" draft="0" horizontalDpi="300" verticalDpi="300" copies="1"/>
</worksheet>
</file>

<file path=xl/worksheets/sheet4.xml><?xml version="1.0" encoding="utf-8"?>
<worksheet xmlns="http://schemas.openxmlformats.org/spreadsheetml/2006/main">
  <sheetPr filterMode="0">
    <outlinePr summaryBelow="1" summaryRight="1"/>
    <pageSetUpPr fitToPage="0"/>
  </sheetPr>
  <dimension ref="A1:H15"/>
  <sheetViews>
    <sheetView showFormulas="0" showGridLines="0" showRowColHeaders="1" showZeros="1" rightToLeft="0" tabSelected="0" showOutlineSymbols="1" defaultGridColor="1" view="normal" topLeftCell="A1" colorId="64" zoomScale="100" zoomScaleNormal="100" zoomScalePageLayoutView="100" workbookViewId="0">
      <selection pane="topLeft" activeCell="A1" activeCellId="0" sqref="A1"/>
    </sheetView>
  </sheetViews>
  <sheetFormatPr baseColWidth="8" defaultColWidth="8.6796875" defaultRowHeight="15" zeroHeight="0" outlineLevelRow="0"/>
  <cols>
    <col width="30" customWidth="1" style="89" min="1" max="1"/>
    <col width="20" customWidth="1" style="89" min="2" max="6"/>
    <col width="18" customWidth="1" style="89" min="7" max="7"/>
    <col width="28" customWidth="1" style="89" min="8" max="8"/>
  </cols>
  <sheetData>
    <row r="1" ht="36" customHeight="1" s="90">
      <c r="A1" s="171" t="inlineStr">
        <is>
          <t>ĮGALIOJIMŲ ŽEMĖLAPIS · Kas gali spręsti ką</t>
        </is>
      </c>
    </row>
    <row r="2" ht="19.5" customHeight="1" s="90">
      <c r="A2" s="92" t="inlineStr">
        <is>
          <t>Kiekvienas darbuotojas žino: ką gali spręsti savarankiškai · kada eskaluoti · kam</t>
        </is>
      </c>
    </row>
    <row r="3" ht="43.5" customHeight="1" s="90">
      <c r="A3" s="93" t="inlineStr">
        <is>
          <t>Scenarijus</t>
        </is>
      </c>
      <c r="B3" s="93" t="inlineStr">
        <is>
          <t>Kategorija</t>
        </is>
      </c>
      <c r="C3" s="93" t="inlineStr">
        <is>
          <t>Darbuotojas
(1 lygis)</t>
        </is>
      </c>
      <c r="D3" s="93" t="inlineStr">
        <is>
          <t>Komandos vadovas
(2 lygis)</t>
        </is>
      </c>
      <c r="E3" s="93" t="inlineStr">
        <is>
          <t>Vadovas
(3 lygis)</t>
        </is>
      </c>
      <c r="F3" s="93" t="inlineStr">
        <is>
          <t>Kompensacijos riba</t>
        </is>
      </c>
      <c r="G3" s="93" t="inlineStr">
        <is>
          <t>Terminas atsakymui</t>
        </is>
      </c>
      <c r="H3" s="93" t="inlineStr">
        <is>
          <t>Pastabos</t>
        </is>
      </c>
    </row>
    <row r="4" ht="27.75" customHeight="1" s="90">
      <c r="A4" s="172" t="inlineStr">
        <is>
          <t>Pristatymo vėlavimas (≤ 3 d.)</t>
        </is>
      </c>
      <c r="B4" s="172" t="inlineStr">
        <is>
          <t>Skundas pagrįstas</t>
        </is>
      </c>
      <c r="C4" s="173" t="inlineStr">
        <is>
          <t>✅ Atsiprašo + info</t>
        </is>
      </c>
      <c r="D4" s="173" t="inlineStr">
        <is>
          <t>✅ Kompensacija iki 30€</t>
        </is>
      </c>
      <c r="E4" s="173" t="inlineStr">
        <is>
          <t>—</t>
        </is>
      </c>
      <c r="F4" s="174" t="inlineStr">
        <is>
          <t>≤ 30€</t>
        </is>
      </c>
      <c r="G4" s="175" t="inlineStr">
        <is>
          <t>2 val.</t>
        </is>
      </c>
      <c r="H4" s="172" t="n"/>
    </row>
    <row r="5" ht="27.75" customHeight="1" s="90">
      <c r="A5" s="176" t="inlineStr">
        <is>
          <t>Pristatymo vėlavimas (&gt; 3 d.)</t>
        </is>
      </c>
      <c r="B5" s="176" t="inlineStr">
        <is>
          <t>Skundas pagrįstas</t>
        </is>
      </c>
      <c r="C5" s="177" t="inlineStr">
        <is>
          <t>ℹ️ Priima, eskaluoja</t>
        </is>
      </c>
      <c r="D5" s="173" t="inlineStr">
        <is>
          <t>✅ Sprendžia</t>
        </is>
      </c>
      <c r="E5" s="177" t="inlineStr">
        <is>
          <t>ℹ️ Žino apie atvejį</t>
        </is>
      </c>
      <c r="F5" s="174" t="inlineStr">
        <is>
          <t>≤ 100€</t>
        </is>
      </c>
      <c r="G5" s="175" t="inlineStr">
        <is>
          <t>4 val.</t>
        </is>
      </c>
      <c r="H5" s="176" t="n"/>
    </row>
    <row r="6" ht="27.75" customHeight="1" s="90">
      <c r="A6" s="172" t="inlineStr">
        <is>
          <t>Produkto defektas</t>
        </is>
      </c>
      <c r="B6" s="172" t="inlineStr">
        <is>
          <t>Skundas pagrįstas</t>
        </is>
      </c>
      <c r="C6" s="173" t="inlineStr">
        <is>
          <t>✅ Priima + keitimas</t>
        </is>
      </c>
      <c r="D6" s="173" t="inlineStr">
        <is>
          <t>✅ Kompensacija</t>
        </is>
      </c>
      <c r="E6" s="173" t="inlineStr">
        <is>
          <t>—</t>
        </is>
      </c>
      <c r="F6" s="174" t="inlineStr">
        <is>
          <t>≤ 50€</t>
        </is>
      </c>
      <c r="G6" s="175" t="inlineStr">
        <is>
          <t>1 d. d.</t>
        </is>
      </c>
      <c r="H6" s="172" t="n"/>
    </row>
    <row r="7" ht="27.75" customHeight="1" s="90">
      <c r="A7" s="176" t="inlineStr">
        <is>
          <t>Sutarties neatitiktis</t>
        </is>
      </c>
      <c r="B7" s="176" t="inlineStr">
        <is>
          <t>Neatitiktis (procesas)</t>
        </is>
      </c>
      <c r="C7" s="177" t="inlineStr">
        <is>
          <t>ℹ️ Fiksuoja, eskaluoja</t>
        </is>
      </c>
      <c r="D7" s="173" t="inlineStr">
        <is>
          <t>✅ Sprendžia</t>
        </is>
      </c>
      <c r="E7" s="173" t="inlineStr">
        <is>
          <t>✅ Tvirtina</t>
        </is>
      </c>
      <c r="F7" s="174" t="inlineStr">
        <is>
          <t>—</t>
        </is>
      </c>
      <c r="G7" s="175" t="inlineStr">
        <is>
          <t>2 d. d.</t>
        </is>
      </c>
      <c r="H7" s="176" t="inlineStr">
        <is>
          <t>Perduoti teisininkui</t>
        </is>
      </c>
    </row>
    <row r="8" ht="27.75" customHeight="1" s="90">
      <c r="A8" s="172" t="inlineStr">
        <is>
          <t>Klaida sąskaitoje</t>
        </is>
      </c>
      <c r="B8" s="172" t="inlineStr">
        <is>
          <t>Neatitiktis (procesas)</t>
        </is>
      </c>
      <c r="C8" s="177" t="inlineStr">
        <is>
          <t>ℹ️ Fiksuoja</t>
        </is>
      </c>
      <c r="D8" s="173" t="inlineStr">
        <is>
          <t>✅ Koreguoja</t>
        </is>
      </c>
      <c r="E8" s="173" t="inlineStr">
        <is>
          <t>—</t>
        </is>
      </c>
      <c r="F8" s="174" t="inlineStr">
        <is>
          <t>—</t>
        </is>
      </c>
      <c r="G8" s="175" t="inlineStr">
        <is>
          <t>1 d. d.</t>
        </is>
      </c>
      <c r="H8" s="172" t="n"/>
    </row>
    <row r="9" ht="27.75" customHeight="1" s="90">
      <c r="A9" s="176" t="inlineStr">
        <is>
          <t>Nepagrįstas reikalavimas</t>
        </is>
      </c>
      <c r="B9" s="176" t="inlineStr">
        <is>
          <t>Skundas nepagrįstas</t>
        </is>
      </c>
      <c r="C9" s="173" t="inlineStr">
        <is>
          <t>✅ Paaiškina politiką</t>
        </is>
      </c>
      <c r="D9" s="177" t="inlineStr">
        <is>
          <t>ℹ️ Jei klientas reikalauja</t>
        </is>
      </c>
      <c r="E9" s="173" t="inlineStr">
        <is>
          <t>—</t>
        </is>
      </c>
      <c r="F9" s="174" t="inlineStr">
        <is>
          <t>—</t>
        </is>
      </c>
      <c r="G9" s="175" t="inlineStr">
        <is>
          <t>24 val.</t>
        </is>
      </c>
      <c r="H9" s="176" t="inlineStr">
        <is>
          <t>Dokumentuoti</t>
        </is>
      </c>
    </row>
    <row r="10" ht="27.75" customHeight="1" s="90">
      <c r="A10" s="172" t="inlineStr">
        <is>
          <t>Teigiamas atsiliepimas</t>
        </is>
      </c>
      <c r="B10" s="172" t="inlineStr">
        <is>
          <t>Atsiliepimas</t>
        </is>
      </c>
      <c r="C10" s="173" t="inlineStr">
        <is>
          <t>✅ Padėkoja</t>
        </is>
      </c>
      <c r="D10" s="173" t="inlineStr">
        <is>
          <t>✅ Perduoda komandai</t>
        </is>
      </c>
      <c r="E10" s="173" t="inlineStr">
        <is>
          <t>—</t>
        </is>
      </c>
      <c r="F10" s="174" t="inlineStr">
        <is>
          <t>—</t>
        </is>
      </c>
      <c r="G10" s="175" t="inlineStr">
        <is>
          <t>—</t>
        </is>
      </c>
      <c r="H10" s="172" t="inlineStr">
        <is>
          <t>Dalintis su komanda</t>
        </is>
      </c>
    </row>
    <row r="11" ht="27.75" customHeight="1" s="90">
      <c r="A11" s="176" t="inlineStr">
        <is>
          <t>Funkcionalumo pasiūlymas</t>
        </is>
      </c>
      <c r="B11" s="176" t="inlineStr">
        <is>
          <t>Pasiūlymas</t>
        </is>
      </c>
      <c r="C11" s="173" t="inlineStr">
        <is>
          <t>✅ Fiksuoja</t>
        </is>
      </c>
      <c r="D11" s="173" t="inlineStr">
        <is>
          <t>✅ Perduoda produktui</t>
        </is>
      </c>
      <c r="E11" s="173" t="inlineStr">
        <is>
          <t>—</t>
        </is>
      </c>
      <c r="F11" s="174" t="inlineStr">
        <is>
          <t>—</t>
        </is>
      </c>
      <c r="G11" s="175" t="inlineStr">
        <is>
          <t>1 sav.</t>
        </is>
      </c>
      <c r="H11" s="176" t="n"/>
    </row>
    <row r="12" ht="27.75" customHeight="1" s="90">
      <c r="A12" s="172" t="inlineStr">
        <is>
          <t>Viešas skundas (socialiniai tinklai)</t>
        </is>
      </c>
      <c r="B12" s="172" t="inlineStr">
        <is>
          <t>Skundas pagrįstas</t>
        </is>
      </c>
      <c r="C12" s="178" t="inlineStr">
        <is>
          <t>⚠️ Nedelsdamas praneša</t>
        </is>
      </c>
      <c r="D12" s="173" t="inlineStr">
        <is>
          <t>✅ Atsako viešai</t>
        </is>
      </c>
      <c r="E12" s="173" t="inlineStr">
        <is>
          <t>✅ Žino apie atvejį</t>
        </is>
      </c>
      <c r="F12" s="174" t="inlineStr">
        <is>
          <t>—</t>
        </is>
      </c>
      <c r="G12" s="175" t="inlineStr">
        <is>
          <t>2 val.</t>
        </is>
      </c>
      <c r="H12" s="172" t="inlineStr">
        <is>
          <t>Atsakyti viešai, spręsti privačiai</t>
        </is>
      </c>
    </row>
    <row r="13" ht="27.75" customHeight="1" s="90">
      <c r="A13" s="176" t="inlineStr">
        <is>
          <t>Eskalacija į vadovybę</t>
        </is>
      </c>
      <c r="B13" s="176" t="inlineStr">
        <is>
          <t>Bet kuri</t>
        </is>
      </c>
      <c r="C13" s="177" t="inlineStr">
        <is>
          <t>ℹ️ Perduoda</t>
        </is>
      </c>
      <c r="D13" s="177" t="inlineStr">
        <is>
          <t>ℹ️ Koordinuoja</t>
        </is>
      </c>
      <c r="E13" s="173" t="inlineStr">
        <is>
          <t>✅ Sprendžia</t>
        </is>
      </c>
      <c r="F13" s="174" t="inlineStr">
        <is>
          <t>—</t>
        </is>
      </c>
      <c r="G13" s="175" t="inlineStr">
        <is>
          <t>Tą pačią dieną</t>
        </is>
      </c>
      <c r="H13" s="176" t="n"/>
    </row>
    <row r="15" ht="21.75" customHeight="1" s="90">
      <c r="A15" s="179" t="inlineStr">
        <is>
          <t>LEGENDA:</t>
        </is>
      </c>
      <c r="B15" s="180" t="inlineStr">
        <is>
          <t>✅ Sprendžia savarankiškai</t>
        </is>
      </c>
      <c r="D15" s="181" t="inlineStr">
        <is>
          <t>ℹ️ Dalyvauja / informuojamas</t>
        </is>
      </c>
      <c r="F15" s="182" t="inlineStr">
        <is>
          <t>⚠️ Nedelsdamas eskaluoja</t>
        </is>
      </c>
      <c r="H15" s="183" t="inlineStr">
        <is>
          <t>— Nereikalinga</t>
        </is>
      </c>
    </row>
    <row r="16" ht="21.75" customHeight="1" s="90"/>
  </sheetData>
  <mergeCells count="2">
    <mergeCell ref="A2:H2"/>
    <mergeCell ref="A1:H1"/>
  </mergeCells>
  <printOptions horizontalCentered="0" verticalCentered="0" headings="0" gridLines="0" gridLinesSet="1"/>
  <pageMargins left="0.75" right="0.75" top="1" bottom="1" header="0.511811023622047" footer="0.511811023622047"/>
  <pageSetup orientation="portrait" paperSize="9" scale="100" fitToHeight="1" fitToWidth="1" pageOrder="downThenOver" blackAndWhite="0" draft="0" horizontalDpi="300" verticalDpi="300" copies="1"/>
</worksheet>
</file>

<file path=xl/worksheets/sheet5.xml><?xml version="1.0" encoding="utf-8"?>
<worksheet xmlns="http://schemas.openxmlformats.org/spreadsheetml/2006/main">
  <sheetPr filterMode="0">
    <outlinePr summaryBelow="1" summaryRight="1"/>
    <pageSetUpPr fitToPage="0"/>
  </sheetPr>
  <dimension ref="A1:L21"/>
  <sheetViews>
    <sheetView showFormulas="0" showGridLines="0" showRowColHeaders="1" showZeros="1" rightToLeft="0" tabSelected="0" showOutlineSymbols="1" defaultGridColor="1" view="normal" topLeftCell="A1" colorId="64" zoomScale="100" zoomScaleNormal="100" zoomScalePageLayoutView="100" workbookViewId="0">
      <selection pane="topLeft" activeCell="A1" activeCellId="0" sqref="A1"/>
    </sheetView>
  </sheetViews>
  <sheetFormatPr baseColWidth="8" defaultColWidth="8.6796875" defaultRowHeight="15" zeroHeight="0" outlineLevelRow="0"/>
  <cols>
    <col width="5" customWidth="1" style="89" min="1" max="1"/>
    <col width="30" customWidth="1" style="89" min="2" max="2"/>
    <col width="20" customWidth="1" style="89" min="3" max="3"/>
    <col width="12" customWidth="1" style="89" min="4" max="4"/>
    <col width="20" customWidth="1" style="89" min="5" max="5"/>
    <col width="32" customWidth="1" style="89" min="6" max="6"/>
    <col width="20" customWidth="1" style="89" min="7" max="7"/>
    <col width="14" customWidth="1" style="89" min="8" max="8"/>
    <col width="16" customWidth="1" style="89" min="9" max="9"/>
  </cols>
  <sheetData>
    <row r="1" ht="36" customHeight="1" s="90">
      <c r="A1" s="171" t="inlineStr">
        <is>
          <t>MĖNESINĖ DIAGNOSTIKA · Šakninių priežasčių analizė</t>
        </is>
      </c>
    </row>
    <row r="2" ht="19.5" customHeight="1" s="90">
      <c r="A2" s="92" t="inlineStr">
        <is>
          <t>Kas mėnesį: 5 dažniausios priežastys → atsakingas → korekcija → terminas</t>
        </is>
      </c>
    </row>
    <row r="3" ht="39.75" customHeight="1" s="90">
      <c r="A3" s="93" t="inlineStr">
        <is>
          <t>#</t>
        </is>
      </c>
      <c r="B3" s="93" t="inlineStr">
        <is>
          <t>Šakninė priežastis</t>
        </is>
      </c>
      <c r="C3" s="93" t="inlineStr">
        <is>
          <t>Kategorija</t>
        </is>
      </c>
      <c r="D3" s="93" t="inlineStr">
        <is>
          <t>Kiek kartų
(mėn.)</t>
        </is>
      </c>
      <c r="E3" s="93" t="inlineStr">
        <is>
          <t>Proceso etapas</t>
        </is>
      </c>
      <c r="F3" s="93" t="inlineStr">
        <is>
          <t>Korekcija / Veiksmas</t>
        </is>
      </c>
      <c r="G3" s="93" t="inlineStr">
        <is>
          <t>Atsakingas asmuo</t>
        </is>
      </c>
      <c r="H3" s="93" t="inlineStr">
        <is>
          <t>Terminas</t>
        </is>
      </c>
      <c r="I3" s="93" t="inlineStr">
        <is>
          <t>Statusas</t>
        </is>
      </c>
      <c r="K3" s="184" t="inlineStr">
        <is>
          <t>Šakninė priežastis (auto-count šiam mėn.)</t>
        </is>
      </c>
      <c r="L3" s="184" t="inlineStr">
        <is>
          <t>Kiekis</t>
        </is>
      </c>
    </row>
    <row r="4" ht="36" customHeight="1" s="90">
      <c r="A4" s="185" t="inlineStr">
        <is>
          <t>⚠️  NEATITIKTIS = KOREKCINIS VEIKSMAS PRIVALOMAS. Klaida turi būti pašalinta iš proceso — ne tik išspręsta klientui. Stulpelis 'Korekcija / Veiksmas' = sistemos pakeitimas, ne reaktyvus atsakymas. Terminas — ne incidento uždarymas, o proceso korekcijos pabaiga.</t>
        </is>
      </c>
      <c r="B4" s="186" t="n"/>
      <c r="C4" s="186" t="n"/>
      <c r="D4" s="186" t="n"/>
      <c r="E4" s="186" t="n"/>
      <c r="F4" s="186" t="n"/>
      <c r="G4" s="186" t="n"/>
      <c r="H4" s="186" t="n"/>
      <c r="I4" s="186" t="n"/>
      <c r="K4" s="187" t="inlineStr">
        <is>
          <t>Logistikos proceso spragos</t>
        </is>
      </c>
      <c r="L4" s="187">
        <f>COUNTIFS('📋 Registras'!I4:I200,K4,'📋 Registras'!B4:B200,"&gt;="&amp;DATE(YEAR(TODAY()),MONTH(TODAY()),1),'📋 Registras'!B4:B200,"&lt;="&amp;DATE(YEAR(TODAY()),MONTH(TODAY())+1,0))</f>
        <v/>
      </c>
    </row>
    <row r="5" ht="39.75" customHeight="1" s="90">
      <c r="A5" s="188" t="inlineStr">
        <is>
          <t>1</t>
        </is>
      </c>
      <c r="B5" s="172" t="inlineStr">
        <is>
          <t>Pristatymo vėlavimai</t>
        </is>
      </c>
      <c r="C5" s="189" t="inlineStr">
        <is>
          <t>Neatitiktis (procesas)</t>
        </is>
      </c>
      <c r="D5" s="188" t="inlineStr">
        <is>
          <t>3</t>
        </is>
      </c>
      <c r="E5" s="172" t="inlineStr">
        <is>
          <t>Logistika</t>
        </is>
      </c>
      <c r="F5" s="189" t="inlineStr">
        <is>
          <t>KOREKCINIS VEIKSMAS: Perrašyti SLA sutartį su logistikos partneriu (max 48h pristatymas). Diegti automatinius vėlavimo įspėjimus klientams. Mėnesio pabaigoje — rodiklio peržiūra su partneriu.</t>
        </is>
      </c>
      <c r="G5" s="172" t="inlineStr">
        <is>
          <t>Operacijų vadovas</t>
        </is>
      </c>
      <c r="H5" s="172" t="inlineStr">
        <is>
          <t>2025-07-10</t>
        </is>
      </c>
      <c r="I5" s="172" t="inlineStr">
        <is>
          <t>Vykdoma</t>
        </is>
      </c>
      <c r="K5" s="187" t="inlineStr">
        <is>
          <t>IT integracija neveikia</t>
        </is>
      </c>
      <c r="L5" s="187">
        <f>COUNTIFS('📋 Registras'!I4:I200,K5,'📋 Registras'!B4:B200,"&gt;="&amp;DATE(YEAR(TODAY()),MONTH(TODAY()),1),'📋 Registras'!B4:B200,"&lt;="&amp;DATE(YEAR(TODAY()),MONTH(TODAY())+1,0))</f>
        <v/>
      </c>
    </row>
    <row r="6" ht="39.75" customHeight="1" s="90">
      <c r="A6" s="190" t="inlineStr">
        <is>
          <t>2</t>
        </is>
      </c>
      <c r="B6" s="176" t="inlineStr">
        <is>
          <t>IT sistemos klaidos (patvirtinimai)</t>
        </is>
      </c>
      <c r="C6" s="176" t="inlineStr">
        <is>
          <t>Neatitiktis (procesas)</t>
        </is>
      </c>
      <c r="D6" s="190" t="inlineStr">
        <is>
          <t>2</t>
        </is>
      </c>
      <c r="E6" s="176" t="inlineStr">
        <is>
          <t>Onboarding</t>
        </is>
      </c>
      <c r="F6" s="176" t="inlineStr">
        <is>
          <t>IT komanda ištaiso integraciją; testas prieš publikavimą</t>
        </is>
      </c>
      <c r="G6" s="176" t="inlineStr">
        <is>
          <t>IT vadovas</t>
        </is>
      </c>
      <c r="H6" s="176" t="inlineStr">
        <is>
          <t>2025-07-05</t>
        </is>
      </c>
      <c r="I6" s="176" t="inlineStr">
        <is>
          <t>Atviras</t>
        </is>
      </c>
      <c r="K6" s="187" t="inlineStr">
        <is>
          <t>Kliento nesusipratimas</t>
        </is>
      </c>
      <c r="L6" s="187">
        <f>COUNTIFS('📋 Registras'!I4:I200,K6,'📋 Registras'!B4:B200,"&gt;="&amp;DATE(YEAR(TODAY()),MONTH(TODAY()),1),'📋 Registras'!B4:B200,"&lt;="&amp;DATE(YEAR(TODAY()),MONTH(TODAY())+1,0))</f>
        <v/>
      </c>
    </row>
    <row r="7" ht="39.75" customHeight="1" s="90">
      <c r="A7" s="188" t="inlineStr">
        <is>
          <t>3</t>
        </is>
      </c>
      <c r="B7" s="172" t="n"/>
      <c r="C7" s="172" t="n"/>
      <c r="D7" s="188" t="n"/>
      <c r="E7" s="172" t="n"/>
      <c r="F7" s="172" t="n"/>
      <c r="G7" s="172" t="n"/>
      <c r="H7" s="172" t="n"/>
      <c r="I7" s="172" t="n"/>
      <c r="K7" s="187" t="inlineStr">
        <is>
          <t>Funkcijos trūkumas</t>
        </is>
      </c>
      <c r="L7" s="187">
        <f>COUNTIFS('📋 Registras'!I4:I200,K7,'📋 Registras'!B4:B200,"&gt;="&amp;DATE(YEAR(TODAY()),MONTH(TODAY()),1),'📋 Registras'!B4:B200,"&lt;="&amp;DATE(YEAR(TODAY()),MONTH(TODAY())+1,0))</f>
        <v/>
      </c>
    </row>
    <row r="8" ht="39.75" customHeight="1" s="90">
      <c r="A8" s="190" t="inlineStr">
        <is>
          <t>4</t>
        </is>
      </c>
      <c r="B8" s="176" t="n"/>
      <c r="C8" s="176" t="n"/>
      <c r="D8" s="190" t="n"/>
      <c r="E8" s="176" t="n"/>
      <c r="F8" s="176" t="n"/>
      <c r="G8" s="176" t="n"/>
      <c r="H8" s="176" t="n"/>
      <c r="I8" s="176" t="n"/>
      <c r="K8" s="187" t="inlineStr">
        <is>
          <t>Aptarnavimo kokybė</t>
        </is>
      </c>
      <c r="L8" s="187">
        <f>COUNTIFS('📋 Registras'!I4:I200,K8,'📋 Registras'!B4:B200,"&gt;="&amp;DATE(YEAR(TODAY()),MONTH(TODAY()),1),'📋 Registras'!B4:B200,"&lt;="&amp;DATE(YEAR(TODAY()),MONTH(TODAY())+1,0))</f>
        <v/>
      </c>
    </row>
    <row r="9" ht="15" customHeight="1" s="90">
      <c r="A9" s="188" t="inlineStr">
        <is>
          <t>5</t>
        </is>
      </c>
      <c r="B9" s="172" t="n"/>
      <c r="C9" s="172" t="n"/>
      <c r="D9" s="188" t="n"/>
      <c r="E9" s="172" t="n"/>
      <c r="F9" s="172" t="n"/>
      <c r="G9" s="172" t="n"/>
      <c r="H9" s="172" t="n"/>
      <c r="I9" s="172" t="n"/>
      <c r="K9" s="187" t="inlineStr">
        <is>
          <t>Komunikacijos spraga</t>
        </is>
      </c>
      <c r="L9" s="187">
        <f>COUNTIFS('📋 Registras'!I4:I200,K9,'📋 Registras'!B4:B200,"&gt;="&amp;DATE(YEAR(TODAY()),MONTH(TODAY()),1),'📋 Registras'!B4:B200,"&lt;="&amp;DATE(YEAR(TODAY()),MONTH(TODAY())+1,0))</f>
        <v/>
      </c>
    </row>
    <row r="10" ht="27.75" customHeight="1" s="90">
      <c r="K10" s="191" t="inlineStr">
        <is>
          <t>💡 Peržiūrėkite L stulpelį ir rankiniu būdu užpildykite TOP 5 eilutėse žemiau</t>
        </is>
      </c>
      <c r="L10" s="187">
        <f>COUNTIFS('📋 Registras'!I4:I200,K10,'📋 Registras'!B4:B200,"&gt;="&amp;DATE(YEAR(TODAY()),MONTH(TODAY()),1),'📋 Registras'!B4:B200,"&lt;="&amp;DATE(YEAR(TODAY()),MONTH(TODAY())+1,0))</f>
        <v/>
      </c>
    </row>
    <row r="11" ht="49.5" customHeight="1" s="90">
      <c r="A11" s="192" t="inlineStr">
        <is>
          <t>VADOVO IŠVADA (pildoma mėnesio pabaigoje)</t>
        </is>
      </c>
      <c r="K11" s="187" t="inlineStr">
        <is>
          <t>Techninis gedimas</t>
        </is>
      </c>
      <c r="L11" s="187">
        <f>COUNTIFS('📋 Registras'!I4:I200,K11,'📋 Registras'!B4:B200,"&gt;="&amp;DATE(YEAR(TODAY()),MONTH(TODAY()),1),'📋 Registras'!B4:B200,"&lt;="&amp;DATE(YEAR(TODAY()),MONTH(TODAY())+1,0))</f>
        <v/>
      </c>
    </row>
    <row r="12" ht="325.5" customHeight="1" s="90">
      <c r="A12" s="193" t="inlineStr">
        <is>
          <t>Šį mėnesį dominuojanti šakninė priežastis: _________  /  Sisteminė korekcija planuojama: _________  /  Stebėsena: _________</t>
        </is>
      </c>
    </row>
    <row r="14" ht="21.75" customHeight="1" s="90">
      <c r="A14" s="130" t="inlineStr">
        <is>
          <t>MĖNESINIŲ IŠVADŲ ARCHYVAS</t>
        </is>
      </c>
    </row>
    <row r="15" ht="27.75" customHeight="1" s="90">
      <c r="A15" s="131" t="inlineStr">
        <is>
          <t>Mėnuo</t>
        </is>
      </c>
      <c r="B15" s="131" t="inlineStr">
        <is>
          <t>Dominuojanti
šakninė priežastis</t>
        </is>
      </c>
      <c r="C15" s="131" t="inlineStr">
        <is>
          <t>Sisteminė
korekcija</t>
        </is>
      </c>
      <c r="D15" s="131" t="inlineStr">
        <is>
          <t>Stebėsena iki</t>
        </is>
      </c>
      <c r="E15" s="131" t="inlineStr">
        <is>
          <t>Statusas</t>
        </is>
      </c>
      <c r="F15" s="131" t="n"/>
      <c r="G15" s="131" t="n"/>
      <c r="H15" s="131" t="n"/>
      <c r="I15" s="131" t="n"/>
    </row>
    <row r="16" ht="21.75" customHeight="1" s="90">
      <c r="A16" s="144" t="n"/>
      <c r="B16" s="144" t="n"/>
      <c r="C16" s="144" t="n"/>
      <c r="D16" s="144" t="n"/>
      <c r="E16" s="144" t="n"/>
      <c r="F16" s="144" t="n"/>
      <c r="G16" s="144" t="n"/>
      <c r="H16" s="144" t="n"/>
      <c r="I16" s="144" t="n"/>
    </row>
    <row r="17" ht="21.75" customHeight="1" s="90">
      <c r="A17" s="140" t="n"/>
      <c r="B17" s="140" t="n"/>
      <c r="C17" s="140" t="n"/>
      <c r="D17" s="140" t="n"/>
      <c r="E17" s="140" t="n"/>
      <c r="F17" s="140" t="n"/>
      <c r="G17" s="140" t="n"/>
      <c r="H17" s="140" t="n"/>
      <c r="I17" s="140" t="n"/>
    </row>
    <row r="18" ht="21.75" customHeight="1" s="90">
      <c r="A18" s="144" t="n"/>
      <c r="B18" s="144" t="n"/>
      <c r="C18" s="144" t="n"/>
      <c r="D18" s="144" t="n"/>
      <c r="E18" s="144" t="n"/>
      <c r="F18" s="144" t="n"/>
      <c r="G18" s="144" t="n"/>
      <c r="H18" s="144" t="n"/>
      <c r="I18" s="144" t="n"/>
    </row>
    <row r="19" ht="21.75" customHeight="1" s="90">
      <c r="A19" s="140" t="n"/>
      <c r="B19" s="140" t="n"/>
      <c r="C19" s="140" t="n"/>
      <c r="D19" s="140" t="n"/>
      <c r="E19" s="140" t="n"/>
      <c r="F19" s="140" t="n"/>
      <c r="G19" s="140" t="n"/>
      <c r="H19" s="140" t="n"/>
      <c r="I19" s="140" t="n"/>
    </row>
    <row r="20" ht="21.75" customHeight="1" s="90">
      <c r="A20" s="144" t="n"/>
      <c r="B20" s="144" t="n"/>
      <c r="C20" s="144" t="n"/>
      <c r="D20" s="144" t="n"/>
      <c r="E20" s="144" t="n"/>
      <c r="F20" s="144" t="n"/>
      <c r="G20" s="144" t="n"/>
      <c r="H20" s="144" t="n"/>
      <c r="I20" s="144" t="n"/>
    </row>
    <row r="21" ht="21.75" customHeight="1" s="90">
      <c r="A21" s="140" t="n"/>
      <c r="B21" s="140" t="n"/>
      <c r="C21" s="140" t="n"/>
      <c r="D21" s="140" t="n"/>
      <c r="E21" s="140" t="n"/>
      <c r="F21" s="140" t="n"/>
      <c r="G21" s="140" t="n"/>
      <c r="H21" s="140" t="n"/>
      <c r="I21" s="140" t="n"/>
    </row>
  </sheetData>
  <mergeCells count="2">
    <mergeCell ref="A4:I4"/>
    <mergeCell ref="A14:I14"/>
  </mergeCells>
  <printOptions horizontalCentered="0" verticalCentered="0" headings="0" gridLines="0" gridLinesSet="1"/>
  <pageMargins left="0.75" right="0.75" top="1" bottom="1" header="0.511811023622047" footer="0.511811023622047"/>
  <pageSetup orientation="portrait" paperSize="9" scale="100" fitToHeight="1" fitToWidth="1" pageOrder="downThenOver" blackAndWhite="0" draft="0" horizontalDpi="300" verticalDpi="300" copies="1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:language xmlns:dc="http://purl.org/dc/elements/1.1/">en-US</dc:language>
  <dcterms:created xmlns:dcterms="http://purl.org/dc/terms/" xmlns:xsi="http://www.w3.org/2001/XMLSchema-instance" xsi:type="dcterms:W3CDTF">2026-06-25T19:04:30Z</dcterms:created>
  <dcterms:modified xmlns:dcterms="http://purl.org/dc/terms/" xmlns:xsi="http://www.w3.org/2001/XMLSchema-instance" xsi:type="dcterms:W3CDTF">2026-06-26T04:07:21Z</dcterms:modified>
  <cp:revision>0</cp:revision>
</cp:coreProperties>
</file>